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hivuk\hany\האתרים השיווקיים\תכנים אתר שיווקי מרכנתיל\פקדונות\"/>
    </mc:Choice>
  </mc:AlternateContent>
  <xr:revisionPtr revIDLastSave="0" documentId="13_ncr:1_{D778FA50-677E-43AA-AF90-92696F692A65}" xr6:coauthVersionLast="47" xr6:coauthVersionMax="47" xr10:uidLastSave="{00000000-0000-0000-0000-000000000000}"/>
  <bookViews>
    <workbookView xWindow="-108" yWindow="-108" windowWidth="23256" windowHeight="12456" tabRatio="591" firstSheet="5" activeTab="5" xr2:uid="{00000000-000D-0000-FFFF-FFFF00000000}"/>
  </bookViews>
  <sheets>
    <sheet name="ר. תעריפיות חדש" sheetId="4" state="hidden" r:id="rId1"/>
    <sheet name="גיליון5" sheetId="9" state="hidden" r:id="rId2"/>
    <sheet name="גיליון4" sheetId="8" state="hidden" r:id="rId3"/>
    <sheet name="גיליון3" sheetId="7" state="hidden" r:id="rId4"/>
    <sheet name="רק חן לכל" sheetId="11" state="hidden" r:id="rId5"/>
    <sheet name="טבלת ריבית תעריפית שיקלית" sheetId="17" r:id="rId6"/>
    <sheet name="פרנ מודולרי" sheetId="3" state="hidden" r:id="rId7"/>
  </sheets>
  <definedNames>
    <definedName name="_xlnm.Print_Area" localSheetId="6">'פרנ מודולרי'!$T$1:$Z$15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5" i="3" l="1"/>
  <c r="X5" i="3" s="1"/>
  <c r="B6" i="3"/>
  <c r="B7" i="3" s="1"/>
  <c r="B8" i="3" s="1"/>
  <c r="B9" i="3" s="1"/>
  <c r="B10" i="3" s="1"/>
  <c r="B11" i="3" s="1"/>
  <c r="B12" i="3" s="1"/>
  <c r="W6" i="3"/>
  <c r="W7" i="3"/>
  <c r="CJ7" i="3"/>
  <c r="W8" i="3"/>
  <c r="CJ8" i="3"/>
  <c r="W9" i="3"/>
  <c r="CJ9" i="3"/>
  <c r="W10" i="3"/>
  <c r="W11" i="3"/>
  <c r="W12" i="3"/>
  <c r="B14" i="3"/>
  <c r="D5" i="3" s="1"/>
  <c r="AC14" i="3"/>
  <c r="W23" i="3"/>
  <c r="Z23" i="3"/>
  <c r="W24" i="3"/>
  <c r="Z24" i="3"/>
  <c r="B26" i="3"/>
  <c r="E10" i="11"/>
  <c r="H10" i="11"/>
  <c r="E11" i="11"/>
  <c r="H11" i="11"/>
  <c r="H21" i="11"/>
  <c r="K21" i="11"/>
  <c r="N21" i="11"/>
  <c r="Q21" i="11"/>
  <c r="T21" i="11"/>
  <c r="H22" i="11"/>
  <c r="K22" i="11"/>
  <c r="N22" i="11"/>
  <c r="Q22" i="11"/>
  <c r="T22" i="11"/>
  <c r="E8" i="7"/>
  <c r="G8" i="7"/>
  <c r="H8" i="7"/>
  <c r="J8" i="7"/>
  <c r="K8" i="7"/>
  <c r="M8" i="7"/>
  <c r="N8" i="7"/>
  <c r="P8" i="7"/>
  <c r="Q8" i="7"/>
  <c r="S8" i="7"/>
  <c r="E12" i="7"/>
  <c r="G12" i="7"/>
  <c r="H12" i="7"/>
  <c r="J12" i="7"/>
  <c r="K12" i="7"/>
  <c r="M12" i="7"/>
  <c r="N12" i="7"/>
  <c r="P12" i="7"/>
  <c r="Q12" i="7"/>
  <c r="S12" i="7"/>
  <c r="E13" i="7"/>
  <c r="G13" i="7"/>
  <c r="H13" i="7"/>
  <c r="J13" i="7"/>
  <c r="K13" i="7"/>
  <c r="M13" i="7"/>
  <c r="N13" i="7"/>
  <c r="P13" i="7"/>
  <c r="Q13" i="7"/>
  <c r="S13" i="7"/>
  <c r="E14" i="7"/>
  <c r="G14" i="7"/>
  <c r="H14" i="7"/>
  <c r="J14" i="7"/>
  <c r="K14" i="7"/>
  <c r="M14" i="7"/>
  <c r="N14" i="7"/>
  <c r="P14" i="7"/>
  <c r="Q14" i="7"/>
  <c r="S14" i="7"/>
  <c r="E15" i="7"/>
  <c r="G15" i="7"/>
  <c r="H15" i="7"/>
  <c r="J15" i="7"/>
  <c r="K15" i="7"/>
  <c r="M15" i="7"/>
  <c r="N15" i="7"/>
  <c r="P15" i="7"/>
  <c r="Q15" i="7"/>
  <c r="S15" i="7"/>
  <c r="E16" i="7"/>
  <c r="G16" i="7"/>
  <c r="H16" i="7"/>
  <c r="J16" i="7"/>
  <c r="K16" i="7"/>
  <c r="M16" i="7"/>
  <c r="N16" i="7"/>
  <c r="P16" i="7"/>
  <c r="Q16" i="7"/>
  <c r="S16" i="7"/>
  <c r="E17" i="7"/>
  <c r="G17" i="7"/>
  <c r="H17" i="7"/>
  <c r="J17" i="7"/>
  <c r="K17" i="7"/>
  <c r="M17" i="7"/>
  <c r="N17" i="7"/>
  <c r="P17" i="7"/>
  <c r="Q17" i="7"/>
  <c r="S17" i="7"/>
  <c r="G18" i="7"/>
  <c r="J18" i="7"/>
  <c r="M18" i="7"/>
  <c r="P18" i="7"/>
  <c r="S18" i="7"/>
  <c r="G19" i="7"/>
  <c r="J19" i="7"/>
  <c r="M19" i="7"/>
  <c r="P19" i="7"/>
  <c r="S19" i="7"/>
  <c r="E30" i="7"/>
  <c r="G30" i="7" s="1"/>
  <c r="H30" i="7"/>
  <c r="J30" i="7" s="1"/>
  <c r="K30" i="7"/>
  <c r="M30" i="7" s="1"/>
  <c r="N30" i="7"/>
  <c r="P30" i="7" s="1"/>
  <c r="Q30" i="7"/>
  <c r="S30" i="7" s="1"/>
  <c r="E32" i="7"/>
  <c r="G32" i="7"/>
  <c r="H32" i="7"/>
  <c r="J32" i="7"/>
  <c r="K32" i="7"/>
  <c r="M32" i="7"/>
  <c r="N32" i="7"/>
  <c r="P32" i="7"/>
  <c r="Q32" i="7"/>
  <c r="S32" i="7"/>
  <c r="E34" i="7"/>
  <c r="G34" i="7" s="1"/>
  <c r="H34" i="7"/>
  <c r="J34" i="7" s="1"/>
  <c r="K34" i="7"/>
  <c r="M34" i="7" s="1"/>
  <c r="N34" i="7"/>
  <c r="P34" i="7" s="1"/>
  <c r="Q34" i="7"/>
  <c r="S34" i="7" s="1"/>
  <c r="E36" i="7"/>
  <c r="G36" i="7" s="1"/>
  <c r="H36" i="7"/>
  <c r="J36" i="7" s="1"/>
  <c r="K36" i="7"/>
  <c r="M36" i="7" s="1"/>
  <c r="N36" i="7"/>
  <c r="P36" i="7" s="1"/>
  <c r="Q36" i="7"/>
  <c r="S36" i="7" s="1"/>
  <c r="E38" i="7"/>
  <c r="G38" i="7"/>
  <c r="H38" i="7"/>
  <c r="J38" i="7"/>
  <c r="K38" i="7"/>
  <c r="M38" i="7"/>
  <c r="N38" i="7"/>
  <c r="P38" i="7"/>
  <c r="Q38" i="7"/>
  <c r="S38" i="7"/>
  <c r="D43" i="7"/>
  <c r="S23" i="7" s="1"/>
  <c r="E9" i="8"/>
  <c r="G9" i="8" s="1"/>
  <c r="H9" i="8"/>
  <c r="J9" i="8" s="1"/>
  <c r="K9" i="8"/>
  <c r="M9" i="8" s="1"/>
  <c r="N9" i="8"/>
  <c r="P9" i="8" s="1"/>
  <c r="Q9" i="8"/>
  <c r="S9" i="8" s="1"/>
  <c r="E10" i="8"/>
  <c r="G10" i="8" s="1"/>
  <c r="H10" i="8"/>
  <c r="J10" i="8" s="1"/>
  <c r="K10" i="8"/>
  <c r="M10" i="8" s="1"/>
  <c r="N10" i="8"/>
  <c r="P10" i="8" s="1"/>
  <c r="Q10" i="8"/>
  <c r="S10" i="8" s="1"/>
  <c r="E11" i="8"/>
  <c r="G11" i="8" s="1"/>
  <c r="H11" i="8"/>
  <c r="J11" i="8" s="1"/>
  <c r="K11" i="8"/>
  <c r="M11" i="8" s="1"/>
  <c r="N11" i="8"/>
  <c r="P11" i="8" s="1"/>
  <c r="Q11" i="8"/>
  <c r="S11" i="8" s="1"/>
  <c r="E12" i="8"/>
  <c r="G12" i="8" s="1"/>
  <c r="H12" i="8"/>
  <c r="J12" i="8" s="1"/>
  <c r="K12" i="8"/>
  <c r="M12" i="8" s="1"/>
  <c r="N12" i="8"/>
  <c r="P12" i="8" s="1"/>
  <c r="Q12" i="8"/>
  <c r="S12" i="8" s="1"/>
  <c r="E22" i="8"/>
  <c r="J22" i="8"/>
  <c r="N22" i="8"/>
  <c r="J23" i="8"/>
  <c r="N23" i="8"/>
  <c r="J24" i="8"/>
  <c r="E24" i="8"/>
  <c r="N24" i="8"/>
  <c r="J25" i="8"/>
  <c r="E25" i="8" s="1"/>
  <c r="N25" i="8"/>
  <c r="J26" i="8"/>
  <c r="E26" i="8" s="1"/>
  <c r="J27" i="8"/>
  <c r="N27" i="8" s="1"/>
  <c r="J28" i="8"/>
  <c r="E28" i="8" s="1"/>
  <c r="N28" i="8"/>
  <c r="J29" i="8"/>
  <c r="E29" i="8"/>
  <c r="N29" i="8"/>
  <c r="G41" i="8"/>
  <c r="K41" i="8" s="1"/>
  <c r="D5" i="9"/>
  <c r="E5" i="9" s="1"/>
  <c r="B6" i="9"/>
  <c r="D6" i="9"/>
  <c r="B7" i="9"/>
  <c r="D7" i="9"/>
  <c r="B8" i="9"/>
  <c r="D8" i="9"/>
  <c r="B9" i="9"/>
  <c r="D9" i="9"/>
  <c r="B10" i="9"/>
  <c r="D10" i="9"/>
  <c r="B11" i="9"/>
  <c r="D11" i="9"/>
  <c r="B12" i="9"/>
  <c r="D12" i="9"/>
  <c r="B14" i="9"/>
  <c r="B26" i="9"/>
  <c r="G8" i="4"/>
  <c r="J8" i="4"/>
  <c r="M8" i="4"/>
  <c r="P8" i="4"/>
  <c r="S8" i="4"/>
  <c r="G12" i="4"/>
  <c r="J12" i="4"/>
  <c r="M12" i="4"/>
  <c r="P12" i="4"/>
  <c r="S12" i="4"/>
  <c r="G13" i="4"/>
  <c r="J13" i="4"/>
  <c r="M13" i="4"/>
  <c r="P13" i="4"/>
  <c r="S13" i="4"/>
  <c r="G14" i="4"/>
  <c r="J14" i="4"/>
  <c r="M14" i="4"/>
  <c r="P14" i="4"/>
  <c r="S14" i="4"/>
  <c r="G15" i="4"/>
  <c r="J15" i="4"/>
  <c r="M15" i="4"/>
  <c r="P15" i="4"/>
  <c r="S15" i="4"/>
  <c r="G16" i="4"/>
  <c r="J16" i="4"/>
  <c r="M16" i="4"/>
  <c r="P16" i="4"/>
  <c r="S16" i="4"/>
  <c r="G17" i="4"/>
  <c r="J17" i="4"/>
  <c r="M17" i="4"/>
  <c r="P17" i="4"/>
  <c r="S17" i="4"/>
  <c r="G21" i="4"/>
  <c r="J21" i="4"/>
  <c r="M21" i="4"/>
  <c r="P21" i="4"/>
  <c r="S21" i="4"/>
  <c r="G22" i="4"/>
  <c r="J22" i="4"/>
  <c r="M22" i="4"/>
  <c r="P22" i="4"/>
  <c r="S22" i="4"/>
  <c r="G23" i="4"/>
  <c r="J23" i="4"/>
  <c r="M23" i="4"/>
  <c r="P23" i="4"/>
  <c r="S23" i="4"/>
  <c r="G24" i="4"/>
  <c r="J24" i="4"/>
  <c r="M24" i="4"/>
  <c r="P24" i="4"/>
  <c r="S24" i="4"/>
  <c r="G28" i="4"/>
  <c r="J28" i="4"/>
  <c r="M28" i="4"/>
  <c r="P28" i="4"/>
  <c r="S28" i="4"/>
  <c r="G29" i="4"/>
  <c r="J29" i="4"/>
  <c r="M29" i="4"/>
  <c r="P29" i="4"/>
  <c r="S29" i="4"/>
  <c r="G30" i="4"/>
  <c r="J30" i="4"/>
  <c r="M30" i="4"/>
  <c r="P30" i="4"/>
  <c r="S30" i="4"/>
  <c r="G31" i="4"/>
  <c r="J31" i="4"/>
  <c r="M31" i="4"/>
  <c r="P31" i="4"/>
  <c r="S31" i="4"/>
  <c r="G32" i="4"/>
  <c r="J32" i="4"/>
  <c r="M32" i="4"/>
  <c r="P32" i="4"/>
  <c r="S32" i="4"/>
  <c r="G33" i="4"/>
  <c r="J33" i="4"/>
  <c r="M33" i="4"/>
  <c r="P33" i="4"/>
  <c r="S33" i="4"/>
  <c r="G34" i="4"/>
  <c r="J34" i="4"/>
  <c r="M34" i="4"/>
  <c r="P34" i="4"/>
  <c r="S34" i="4"/>
  <c r="G35" i="4"/>
  <c r="J35" i="4"/>
  <c r="M35" i="4"/>
  <c r="P35" i="4"/>
  <c r="S35" i="4"/>
  <c r="E27" i="8"/>
  <c r="E23" i="8"/>
  <c r="J39" i="7"/>
  <c r="S37" i="7"/>
  <c r="G37" i="7"/>
  <c r="P35" i="7"/>
  <c r="M33" i="7"/>
  <c r="J31" i="7"/>
  <c r="S26" i="7"/>
  <c r="G26" i="7"/>
  <c r="J25" i="7"/>
  <c r="M24" i="7"/>
  <c r="P23" i="7"/>
  <c r="S39" i="7"/>
  <c r="G39" i="7"/>
  <c r="P37" i="7"/>
  <c r="M35" i="7"/>
  <c r="J33" i="7"/>
  <c r="S31" i="7"/>
  <c r="G31" i="7"/>
  <c r="P26" i="7"/>
  <c r="S25" i="7"/>
  <c r="G25" i="7"/>
  <c r="J24" i="7"/>
  <c r="M23" i="7"/>
  <c r="P39" i="7"/>
  <c r="M37" i="7"/>
  <c r="J35" i="7"/>
  <c r="S33" i="7"/>
  <c r="G33" i="7"/>
  <c r="P31" i="7"/>
  <c r="M26" i="7"/>
  <c r="P25" i="7"/>
  <c r="S24" i="7"/>
  <c r="G24" i="7"/>
  <c r="G5" i="9" l="1"/>
  <c r="E6" i="9"/>
  <c r="E5" i="3"/>
  <c r="D6" i="3"/>
  <c r="D7" i="3" s="1"/>
  <c r="D8" i="3" s="1"/>
  <c r="D9" i="3" s="1"/>
  <c r="D10" i="3" s="1"/>
  <c r="D11" i="3" s="1"/>
  <c r="D12" i="3" s="1"/>
  <c r="Z5" i="3"/>
  <c r="X6" i="3"/>
  <c r="N26" i="8"/>
  <c r="J23" i="7"/>
  <c r="M39" i="7"/>
  <c r="S35" i="7"/>
  <c r="P33" i="7"/>
  <c r="J26" i="7"/>
  <c r="P24" i="7"/>
  <c r="G23" i="7"/>
  <c r="J37" i="7"/>
  <c r="G35" i="7"/>
  <c r="M31" i="7"/>
  <c r="M25" i="7"/>
  <c r="X7" i="3" l="1"/>
  <c r="Z6" i="3"/>
  <c r="G6" i="9"/>
  <c r="E7" i="9"/>
  <c r="G5" i="3"/>
  <c r="E6" i="3"/>
  <c r="E7" i="3" l="1"/>
  <c r="G6" i="3"/>
  <c r="G7" i="9"/>
  <c r="E8" i="9"/>
  <c r="Z7" i="3"/>
  <c r="X8" i="3"/>
  <c r="Z8" i="3" l="1"/>
  <c r="X9" i="3"/>
  <c r="G8" i="9"/>
  <c r="E9" i="9"/>
  <c r="E8" i="3"/>
  <c r="G7" i="3"/>
  <c r="Z9" i="3" l="1"/>
  <c r="X10" i="3"/>
  <c r="G9" i="9"/>
  <c r="E10" i="9"/>
  <c r="E9" i="3"/>
  <c r="G8" i="3"/>
  <c r="G10" i="9" l="1"/>
  <c r="E11" i="9"/>
  <c r="Z10" i="3"/>
  <c r="X11" i="3"/>
  <c r="E10" i="3"/>
  <c r="G9" i="3"/>
  <c r="X12" i="3" l="1"/>
  <c r="Z12" i="3" s="1"/>
  <c r="Z11" i="3"/>
  <c r="G11" i="9"/>
  <c r="E12" i="9"/>
  <c r="G12" i="9" s="1"/>
  <c r="G10" i="3"/>
  <c r="E11" i="3"/>
  <c r="E12" i="3" l="1"/>
  <c r="G12" i="3" s="1"/>
  <c r="G11" i="3"/>
</calcChain>
</file>

<file path=xl/sharedStrings.xml><?xml version="1.0" encoding="utf-8"?>
<sst xmlns="http://schemas.openxmlformats.org/spreadsheetml/2006/main" count="656" uniqueCount="191">
  <si>
    <t>סעיף</t>
  </si>
  <si>
    <t>מאזני</t>
  </si>
  <si>
    <t>עו"ש</t>
  </si>
  <si>
    <t>אישי</t>
  </si>
  <si>
    <t>תקופת</t>
  </si>
  <si>
    <t>הפיקדון</t>
  </si>
  <si>
    <t>עד 9,990</t>
  </si>
  <si>
    <t xml:space="preserve">מ - 10,000 </t>
  </si>
  <si>
    <t>עד - 49,990</t>
  </si>
  <si>
    <t>מ - 50,000</t>
  </si>
  <si>
    <t>עד - 99,990</t>
  </si>
  <si>
    <t>מ - 100,000</t>
  </si>
  <si>
    <t>עד - 499,990</t>
  </si>
  <si>
    <t>מ - 500,000</t>
  </si>
  <si>
    <t>עד - 1,000,000</t>
  </si>
  <si>
    <t>תעריפית</t>
  </si>
  <si>
    <t>שנתית</t>
  </si>
  <si>
    <t>מתואמת</t>
  </si>
  <si>
    <t>פח"ק (פיקדון חוזר קרדיטורי)</t>
  </si>
  <si>
    <t>פק"מ (פיקדון קצר מועד)</t>
  </si>
  <si>
    <t>יום</t>
  </si>
  <si>
    <t>חודש</t>
  </si>
  <si>
    <t>7-13</t>
  </si>
  <si>
    <t>14-29</t>
  </si>
  <si>
    <t>31-89</t>
  </si>
  <si>
    <t>3-5</t>
  </si>
  <si>
    <t>6-11</t>
  </si>
  <si>
    <t>12</t>
  </si>
  <si>
    <t>P -</t>
  </si>
  <si>
    <t>פק"צ ברירה (ריבית קבועה/ניידת)</t>
  </si>
  <si>
    <t>בתוקף מיום :</t>
  </si>
  <si>
    <t>11</t>
  </si>
  <si>
    <t>פק"מ זמין</t>
  </si>
  <si>
    <t>פר"נ (פיקדון ריבית ניידת)</t>
  </si>
  <si>
    <t>24</t>
  </si>
  <si>
    <t>שעור "פריים" (P) הוא:</t>
  </si>
  <si>
    <t>12-24</t>
  </si>
  <si>
    <t>טבלת תכנון הכנסה - דוגמה</t>
  </si>
  <si>
    <t>מצורפת טבלה בה נקובים סכומי הריבית שניתן להפיק מפקדון שקלי בכל חודש.</t>
  </si>
  <si>
    <t>(שעורי הריבית הנ"ל מבוססים על הטבלה התעריפית הנמצאת כיום בתוקף בבנק לתקופות השקעה של 12 חודש)</t>
  </si>
  <si>
    <t>סכום הפקדון</t>
  </si>
  <si>
    <t>הכנסה חודשית מרבית</t>
  </si>
  <si>
    <t>שעור ריבית נומינלי</t>
  </si>
  <si>
    <t>ריבית אפקטיוית שנתית</t>
  </si>
  <si>
    <t>פק"מ צובר</t>
  </si>
  <si>
    <t>ריבית</t>
  </si>
  <si>
    <t>ריבית מתואמת שנתית</t>
  </si>
  <si>
    <t>תקופת ההשקעה</t>
  </si>
  <si>
    <t>רבעון ראשון</t>
  </si>
  <si>
    <t>רבעון שני</t>
  </si>
  <si>
    <t>רבעון שלישי</t>
  </si>
  <si>
    <t>רבעון רביעי</t>
  </si>
  <si>
    <t>רבעון חמישי</t>
  </si>
  <si>
    <t>רבעון שישי</t>
  </si>
  <si>
    <t>רבעון שביעי</t>
  </si>
  <si>
    <t>רבעון שמיני</t>
  </si>
  <si>
    <t>P-</t>
  </si>
  <si>
    <t>ריבית ניידת</t>
  </si>
  <si>
    <t>שנתית לרבעון</t>
  </si>
  <si>
    <t>ריבית נומינ'</t>
  </si>
  <si>
    <t>ריבית ה"פריים" P:</t>
  </si>
  <si>
    <t>שיעור הריבית</t>
  </si>
  <si>
    <t>משוקלל מצטבר</t>
  </si>
  <si>
    <t>תקופת החיסכון: 3, 6 או 12 חודשים.</t>
  </si>
  <si>
    <t>חלופת הריבית</t>
  </si>
  <si>
    <t>נומינלית</t>
  </si>
  <si>
    <t>שלושה חודשים</t>
  </si>
  <si>
    <t>שישה חודשים</t>
  </si>
  <si>
    <t>שנים-עשר חודשים</t>
  </si>
  <si>
    <t>ריבית קבועה</t>
  </si>
  <si>
    <t>29/7/99</t>
  </si>
  <si>
    <t>3-4</t>
  </si>
  <si>
    <t>5-11</t>
  </si>
  <si>
    <t>5-10</t>
  </si>
  <si>
    <t>בתוקף</t>
  </si>
  <si>
    <t>מס'</t>
  </si>
  <si>
    <t>6-10</t>
  </si>
  <si>
    <t>ריבית לאשראי בחן לכל -  % 1.50 + P</t>
  </si>
  <si>
    <t>(לפי פריים 5.3 להשוות לפריים הנוכחי)</t>
  </si>
  <si>
    <t>*</t>
  </si>
  <si>
    <t>לשנות יחסית את המתואמת</t>
  </si>
  <si>
    <t>36</t>
  </si>
  <si>
    <t xml:space="preserve"> שיעור ריבית לתיקונים: </t>
  </si>
  <si>
    <t>שיעור הגדלת ה"מרווח" מידי רבעון:% 0.40</t>
  </si>
  <si>
    <t>01/04/04</t>
  </si>
  <si>
    <t xml:space="preserve">טבלת הריבית במסלול הפר"נ המודולרי בתוקף מ-01/04/04 </t>
  </si>
  <si>
    <t>טבלת ריבית תעריפית במסלול "חן-לכל" בתוקף מ- 01/04/04</t>
  </si>
  <si>
    <t>מספר</t>
  </si>
  <si>
    <t>מוצר</t>
  </si>
  <si>
    <t xml:space="preserve">מספר מוצר </t>
  </si>
  <si>
    <t>תקופת החיסכון:  6 או 12 חודשים.</t>
  </si>
  <si>
    <t xml:space="preserve">טבלת הריבית במסלול הפר"נ המודולרי בתוקף מ-30/12/04 </t>
  </si>
  <si>
    <t>טבלת ריבית תעריפית במסלול "חן-לכל" בתוקף מ- 30/12/04</t>
  </si>
  <si>
    <t>0230</t>
  </si>
  <si>
    <t xml:space="preserve">טבלת הריבית במסלול הפר"נ המודולרי למתמיד </t>
  </si>
  <si>
    <t>:בתום שנה הטבה מיוחדת למתמיד</t>
  </si>
  <si>
    <t>סכום</t>
  </si>
  <si>
    <t>רבית לכל השנה</t>
  </si>
  <si>
    <t>שעברה</t>
  </si>
  <si>
    <t>מעל</t>
  </si>
  <si>
    <t>לשנה הראשונה</t>
  </si>
  <si>
    <t>למתמידים לחסוך בשנה השניה הרבית מתום כל רבעון הרבית מיום פתיחת הפקדון</t>
  </si>
  <si>
    <t>שישה חודשים מספר מוצר 0611</t>
  </si>
  <si>
    <t>שנים-עשר חודשים מספר מוצר 0610</t>
  </si>
  <si>
    <t xml:space="preserve">מוצר </t>
  </si>
  <si>
    <t>0901</t>
  </si>
  <si>
    <t xml:space="preserve">   מוצר 0902  </t>
  </si>
  <si>
    <t>0903</t>
  </si>
  <si>
    <t xml:space="preserve">   מוצר 0904  </t>
  </si>
  <si>
    <t>מעל 500 א' ₪</t>
  </si>
  <si>
    <t>ממוצע 5 רבעונים</t>
  </si>
  <si>
    <t>והנומינלית</t>
  </si>
  <si>
    <t>P-1.30%</t>
  </si>
  <si>
    <t xml:space="preserve"> P- 1.55%</t>
  </si>
  <si>
    <t>P-1.75%</t>
  </si>
  <si>
    <t>בנק מרכנתיל דיסקונט</t>
  </si>
  <si>
    <t>טבלת ריבית תעריפית במסלול "חן-לכל" בתוקף מ-01/01/2010</t>
  </si>
  <si>
    <t>מספר 01/10</t>
  </si>
  <si>
    <t xml:space="preserve">טבלת הריבית ב"פר"נ שקלי מודולרי למתמיד"בתוקף מ-15/02/2010 </t>
  </si>
  <si>
    <t>P-2.25%</t>
  </si>
  <si>
    <t>P-2.00%</t>
  </si>
  <si>
    <t>P-1.50%</t>
  </si>
  <si>
    <t>P-0.25%</t>
  </si>
  <si>
    <t>P</t>
  </si>
  <si>
    <t>P+1.00%</t>
  </si>
  <si>
    <t>עד 100 א' ₪</t>
  </si>
  <si>
    <t>מ-100 - 250 א' ₪</t>
  </si>
  <si>
    <t>מ-250 - 500 א' ₪</t>
  </si>
  <si>
    <t>0413</t>
  </si>
  <si>
    <t>10</t>
  </si>
  <si>
    <t>שיעור הגדלת ה"מרווח" מידי רבעון:% 0.25</t>
  </si>
  <si>
    <t>טבלת הריבית במסלול הפר"נ המודולרי בתוקף מ-04/08/13</t>
  </si>
  <si>
    <t>סוף המידע</t>
  </si>
  <si>
    <t>ריבית לסניף</t>
  </si>
  <si>
    <t>ריבית לדיגיטל</t>
  </si>
  <si>
    <t>מינימום הפקדה 250 ₪</t>
  </si>
  <si>
    <t>מינימום הפקדה 1,000 ₪</t>
  </si>
  <si>
    <t>תחנות</t>
  </si>
  <si>
    <t>מינימום הפקדה 50 ₪ מקסימום להפקדה 30,000 ₪</t>
  </si>
  <si>
    <t>מספר מוצר 0113</t>
  </si>
  <si>
    <t>תעריפית שנתית תחנות</t>
  </si>
  <si>
    <t>תעריפית שנתית בפירעון</t>
  </si>
  <si>
    <t>מספר מוצר 0156</t>
  </si>
  <si>
    <t>תעריפית שנתית התחנה הראשונה</t>
  </si>
  <si>
    <t>תעריפית שנתית תוספת לכל תחנה</t>
  </si>
  <si>
    <t xml:space="preserve">מספר מוצר 0157 </t>
  </si>
  <si>
    <t>"חיסכון ליעד" - של עד 24 חודש מספר מוצר 0660</t>
  </si>
  <si>
    <t>מתום חודש ועד 3 חודשים</t>
  </si>
  <si>
    <t>מתום 3 חודשים ועד 6 חודשים</t>
  </si>
  <si>
    <t>מתום 6 חודשים - 12 חודשים</t>
  </si>
  <si>
    <t>מתום 12-24 חודשים</t>
  </si>
  <si>
    <t>"חיסכון ליעד" - של עד 18 שנה -מספר מוצר 0669</t>
  </si>
  <si>
    <t>מתום 36 -24 חודש</t>
  </si>
  <si>
    <t>מתום 36-48 חודש</t>
  </si>
  <si>
    <t>מתום 48-60 חודש</t>
  </si>
  <si>
    <t>מתום 60-72 חודש</t>
  </si>
  <si>
    <t>מתום 72-96 חודש</t>
  </si>
  <si>
    <t>מתום 96-120 חודש</t>
  </si>
  <si>
    <t>מתום 120-144 חודש</t>
  </si>
  <si>
    <t>מתום 144-180 חודש</t>
  </si>
  <si>
    <t>מתום 180-216 חודש</t>
  </si>
  <si>
    <t>בתום 216 חודש</t>
  </si>
  <si>
    <t>0.80% לשנה</t>
  </si>
  <si>
    <t>1.40% לשנה</t>
  </si>
  <si>
    <t>1.50% לשנה</t>
  </si>
  <si>
    <t>1.60% לשנה</t>
  </si>
  <si>
    <t>1.80% לשנה</t>
  </si>
  <si>
    <t>2.00% לשנה</t>
  </si>
  <si>
    <t>2.20% לשנה</t>
  </si>
  <si>
    <t>פקדון שקלי "נזיל חודשי" ל-5 שנים- תחנות יציאה מתום חודש וכל חודש לאחר מכן</t>
  </si>
  <si>
    <t>פקדון שקלי "נזיל חצי שנתי" ל-5 שנים- תחנות יציאה מתום חצי שנה וכל חצי שנה לאחר מכן</t>
  </si>
  <si>
    <t>פקדון שקלי "נזיל שנתי" ל-5 שנים- תחנות יציאה מתום שנה וכל שנה לאחר מכן</t>
  </si>
  <si>
    <t>2.50% לשנה</t>
  </si>
  <si>
    <t>2.80% לשנה</t>
  </si>
  <si>
    <t>גבול צד שמאל של טבלה</t>
  </si>
  <si>
    <t>0.60% לשנה</t>
  </si>
  <si>
    <t xml:space="preserve"> 0.65% לשנה</t>
  </si>
  <si>
    <t>1.05% לשנה</t>
  </si>
  <si>
    <t>1.20% לשנה</t>
  </si>
  <si>
    <t>1.30% לשנה</t>
  </si>
  <si>
    <t>מספר 06/24</t>
  </si>
  <si>
    <r>
      <t xml:space="preserve">טבלת ריבית תעריפית באפיק ההשקע/ה השיקלי - בנק מרכנתיל דיסקונט בתוקף מ 04/12/24 </t>
    </r>
    <r>
      <rPr>
        <b/>
        <u/>
        <sz val="14"/>
        <color indexed="9"/>
        <rFont val="Arial"/>
        <family val="2"/>
      </rPr>
      <t>-בגיליון זה ישנן מספר טבלאות</t>
    </r>
  </si>
  <si>
    <t>טבלה מספר 1</t>
  </si>
  <si>
    <t>סוף טבלה 1</t>
  </si>
  <si>
    <t>טבלה מספר 2</t>
  </si>
  <si>
    <t>סוף טבלה 2</t>
  </si>
  <si>
    <t>טבלה מספר 3</t>
  </si>
  <si>
    <t>סוף טבלה 3</t>
  </si>
  <si>
    <t>טבלה מספר 4</t>
  </si>
  <si>
    <t>סוף טבלה 4</t>
  </si>
  <si>
    <t>טבלה מספר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</si>
</sst>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00"/>
    <numFmt numFmtId="165" formatCode="0.0%"/>
    <numFmt numFmtId="166" formatCode="d/m"/>
    <numFmt numFmtId="167" formatCode="#,##0_ ;\-#,##0\ "/>
    <numFmt numFmtId="168" formatCode="d/m/yy"/>
    <numFmt numFmtId="169" formatCode="0.000%"/>
    <numFmt numFmtId="170" formatCode="&quot;₪&quot;\ #,##0"/>
  </numFmts>
  <fonts count="28" x14ac:knownFonts="1">
    <font>
      <sz val="10"/>
      <name val="Arial"/>
      <charset val="177"/>
    </font>
    <font>
      <b/>
      <sz val="14"/>
      <name val="Arial"/>
      <family val="2"/>
      <charset val="177"/>
    </font>
    <font>
      <sz val="12"/>
      <name val="Arial"/>
      <family val="2"/>
      <charset val="177"/>
    </font>
    <font>
      <sz val="12"/>
      <color indexed="14"/>
      <name val="Arial"/>
      <family val="2"/>
      <charset val="177"/>
    </font>
    <font>
      <b/>
      <u/>
      <sz val="18"/>
      <name val="Arial"/>
      <family val="2"/>
      <charset val="177"/>
    </font>
    <font>
      <sz val="14"/>
      <name val="Arial"/>
      <family val="2"/>
      <charset val="177"/>
    </font>
    <font>
      <sz val="14"/>
      <color indexed="14"/>
      <name val="Arial"/>
      <family val="2"/>
      <charset val="177"/>
    </font>
    <font>
      <b/>
      <u/>
      <sz val="14"/>
      <name val="Arial"/>
      <family val="2"/>
      <charset val="177"/>
    </font>
    <font>
      <sz val="10"/>
      <name val="Arial"/>
      <family val="2"/>
      <charset val="177"/>
    </font>
    <font>
      <b/>
      <sz val="12"/>
      <name val="Arial"/>
      <family val="2"/>
      <charset val="177"/>
    </font>
    <font>
      <b/>
      <sz val="12"/>
      <color indexed="14"/>
      <name val="Arial"/>
      <family val="2"/>
      <charset val="177"/>
    </font>
    <font>
      <b/>
      <sz val="16"/>
      <name val="Arial"/>
      <family val="2"/>
      <charset val="177"/>
    </font>
    <font>
      <b/>
      <sz val="16"/>
      <color indexed="14"/>
      <name val="Arial"/>
      <family val="2"/>
      <charset val="177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u/>
      <sz val="18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u/>
      <sz val="14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b/>
      <u/>
      <sz val="13.5"/>
      <name val="Arial"/>
      <family val="2"/>
    </font>
    <font>
      <b/>
      <u/>
      <sz val="14"/>
      <color indexed="9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b/>
      <u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5" fillId="0" borderId="0"/>
  </cellStyleXfs>
  <cellXfs count="464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65" fontId="3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center"/>
    </xf>
    <xf numFmtId="166" fontId="3" fillId="0" borderId="0" xfId="0" applyNumberFormat="1" applyFont="1" applyAlignment="1"/>
    <xf numFmtId="49" fontId="3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right"/>
    </xf>
    <xf numFmtId="0" fontId="2" fillId="0" borderId="1" xfId="0" applyFont="1" applyBorder="1" applyAlignment="1">
      <alignment horizontal="right" indent="2"/>
    </xf>
    <xf numFmtId="49" fontId="2" fillId="0" borderId="3" xfId="0" applyNumberFormat="1" applyFont="1" applyBorder="1" applyAlignment="1">
      <alignment horizontal="right"/>
    </xf>
    <xf numFmtId="10" fontId="2" fillId="0" borderId="2" xfId="0" applyNumberFormat="1" applyFont="1" applyBorder="1" applyAlignment="1">
      <alignment horizontal="right" indent="2"/>
    </xf>
    <xf numFmtId="2" fontId="2" fillId="0" borderId="2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right" indent="2"/>
    </xf>
    <xf numFmtId="2" fontId="2" fillId="0" borderId="3" xfId="0" applyNumberFormat="1" applyFont="1" applyBorder="1" applyAlignment="1">
      <alignment horizontal="right" indent="2"/>
    </xf>
    <xf numFmtId="2" fontId="2" fillId="0" borderId="2" xfId="0" applyNumberFormat="1" applyFont="1" applyBorder="1" applyAlignment="1">
      <alignment horizontal="right" indent="2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right" indent="2"/>
    </xf>
    <xf numFmtId="49" fontId="2" fillId="0" borderId="5" xfId="0" applyNumberFormat="1" applyFont="1" applyBorder="1" applyAlignment="1">
      <alignment horizontal="right"/>
    </xf>
    <xf numFmtId="10" fontId="2" fillId="0" borderId="6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10" fontId="2" fillId="0" borderId="7" xfId="0" applyNumberFormat="1" applyFont="1" applyBorder="1" applyAlignment="1">
      <alignment horizontal="right" indent="2"/>
    </xf>
    <xf numFmtId="10" fontId="2" fillId="0" borderId="6" xfId="0" applyNumberFormat="1" applyFont="1" applyBorder="1" applyAlignment="1">
      <alignment horizontal="right" indent="2"/>
    </xf>
    <xf numFmtId="2" fontId="2" fillId="0" borderId="8" xfId="0" applyNumberFormat="1" applyFont="1" applyBorder="1" applyAlignment="1">
      <alignment horizontal="right" indent="2"/>
    </xf>
    <xf numFmtId="2" fontId="2" fillId="0" borderId="6" xfId="0" applyNumberFormat="1" applyFont="1" applyBorder="1" applyAlignment="1">
      <alignment horizontal="right" indent="2"/>
    </xf>
    <xf numFmtId="49" fontId="2" fillId="0" borderId="5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10" fontId="2" fillId="0" borderId="4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  <xf numFmtId="10" fontId="2" fillId="0" borderId="10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10" fontId="2" fillId="0" borderId="9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49" fontId="2" fillId="0" borderId="14" xfId="0" applyNumberFormat="1" applyFont="1" applyBorder="1" applyAlignment="1">
      <alignment horizontal="right"/>
    </xf>
    <xf numFmtId="10" fontId="3" fillId="0" borderId="13" xfId="0" applyNumberFormat="1" applyFont="1" applyBorder="1" applyAlignment="1">
      <alignment horizontal="center"/>
    </xf>
    <xf numFmtId="10" fontId="2" fillId="0" borderId="13" xfId="0" applyNumberFormat="1" applyFont="1" applyBorder="1" applyAlignment="1">
      <alignment horizontal="center"/>
    </xf>
    <xf numFmtId="10" fontId="3" fillId="0" borderId="12" xfId="0" applyNumberFormat="1" applyFont="1" applyBorder="1" applyAlignment="1">
      <alignment horizontal="center"/>
    </xf>
    <xf numFmtId="10" fontId="2" fillId="0" borderId="14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49" fontId="2" fillId="0" borderId="15" xfId="0" applyNumberFormat="1" applyFont="1" applyBorder="1" applyAlignment="1">
      <alignment horizontal="center"/>
    </xf>
    <xf numFmtId="49" fontId="2" fillId="0" borderId="17" xfId="0" applyNumberFormat="1" applyFont="1" applyBorder="1" applyAlignment="1">
      <alignment horizontal="right"/>
    </xf>
    <xf numFmtId="10" fontId="3" fillId="0" borderId="16" xfId="0" applyNumberFormat="1" applyFont="1" applyBorder="1" applyAlignment="1">
      <alignment horizontal="center"/>
    </xf>
    <xf numFmtId="10" fontId="2" fillId="0" borderId="16" xfId="0" applyNumberFormat="1" applyFont="1" applyBorder="1" applyAlignment="1">
      <alignment horizontal="center"/>
    </xf>
    <xf numFmtId="10" fontId="3" fillId="0" borderId="15" xfId="0" applyNumberFormat="1" applyFont="1" applyBorder="1" applyAlignment="1">
      <alignment horizontal="center"/>
    </xf>
    <xf numFmtId="10" fontId="2" fillId="0" borderId="17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/>
    </xf>
    <xf numFmtId="49" fontId="2" fillId="0" borderId="20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center"/>
    </xf>
    <xf numFmtId="10" fontId="2" fillId="0" borderId="19" xfId="0" applyNumberFormat="1" applyFont="1" applyBorder="1" applyAlignment="1">
      <alignment horizontal="center"/>
    </xf>
    <xf numFmtId="10" fontId="3" fillId="0" borderId="18" xfId="0" applyNumberFormat="1" applyFont="1" applyBorder="1" applyAlignment="1">
      <alignment horizontal="center"/>
    </xf>
    <xf numFmtId="10" fontId="2" fillId="0" borderId="20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11" xfId="0" applyNumberFormat="1" applyFont="1" applyBorder="1" applyAlignment="1">
      <alignment horizontal="right"/>
    </xf>
    <xf numFmtId="10" fontId="3" fillId="0" borderId="10" xfId="0" applyNumberFormat="1" applyFont="1" applyBorder="1" applyAlignment="1">
      <alignment horizontal="center"/>
    </xf>
    <xf numFmtId="10" fontId="3" fillId="0" borderId="9" xfId="0" applyNumberFormat="1" applyFont="1" applyBorder="1" applyAlignment="1">
      <alignment horizontal="center"/>
    </xf>
    <xf numFmtId="10" fontId="2" fillId="0" borderId="11" xfId="0" applyNumberFormat="1" applyFont="1" applyBorder="1" applyAlignment="1">
      <alignment horizontal="center"/>
    </xf>
    <xf numFmtId="10" fontId="2" fillId="0" borderId="16" xfId="0" applyNumberFormat="1" applyFont="1" applyBorder="1" applyAlignment="1">
      <alignment horizontal="right"/>
    </xf>
    <xf numFmtId="10" fontId="3" fillId="0" borderId="18" xfId="0" applyNumberFormat="1" applyFont="1" applyBorder="1" applyAlignment="1">
      <alignment horizontal="left"/>
    </xf>
    <xf numFmtId="10" fontId="2" fillId="0" borderId="21" xfId="0" applyNumberFormat="1" applyFont="1" applyBorder="1" applyAlignment="1">
      <alignment horizontal="right"/>
    </xf>
    <xf numFmtId="10" fontId="2" fillId="0" borderId="22" xfId="0" applyNumberFormat="1" applyFont="1" applyBorder="1" applyAlignment="1">
      <alignment horizontal="center"/>
    </xf>
    <xf numFmtId="10" fontId="3" fillId="0" borderId="19" xfId="0" applyNumberFormat="1" applyFont="1" applyBorder="1" applyAlignment="1">
      <alignment horizontal="left"/>
    </xf>
    <xf numFmtId="10" fontId="3" fillId="0" borderId="9" xfId="0" applyNumberFormat="1" applyFont="1" applyBorder="1" applyAlignment="1">
      <alignment horizontal="left"/>
    </xf>
    <xf numFmtId="10" fontId="2" fillId="0" borderId="23" xfId="0" applyNumberFormat="1" applyFont="1" applyBorder="1" applyAlignment="1">
      <alignment horizontal="right"/>
    </xf>
    <xf numFmtId="10" fontId="2" fillId="0" borderId="24" xfId="0" applyNumberFormat="1" applyFont="1" applyBorder="1" applyAlignment="1">
      <alignment horizontal="center"/>
    </xf>
    <xf numFmtId="10" fontId="3" fillId="0" borderId="10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0" fontId="2" fillId="0" borderId="1" xfId="0" applyNumberFormat="1" applyFont="1" applyFill="1" applyBorder="1" applyAlignment="1">
      <alignment horizontal="left"/>
    </xf>
    <xf numFmtId="10" fontId="2" fillId="0" borderId="2" xfId="0" applyNumberFormat="1" applyFont="1" applyFill="1" applyBorder="1" applyAlignment="1">
      <alignment horizontal="center"/>
    </xf>
    <xf numFmtId="10" fontId="2" fillId="0" borderId="3" xfId="0" applyNumberFormat="1" applyFont="1" applyFill="1" applyBorder="1" applyAlignment="1">
      <alignment horizontal="center"/>
    </xf>
    <xf numFmtId="10" fontId="3" fillId="0" borderId="18" xfId="0" applyNumberFormat="1" applyFont="1" applyFill="1" applyBorder="1" applyAlignment="1">
      <alignment horizontal="left"/>
    </xf>
    <xf numFmtId="10" fontId="2" fillId="0" borderId="19" xfId="0" applyNumberFormat="1" applyFont="1" applyFill="1" applyBorder="1" applyAlignment="1">
      <alignment horizontal="right"/>
    </xf>
    <xf numFmtId="10" fontId="2" fillId="0" borderId="20" xfId="0" applyNumberFormat="1" applyFont="1" applyFill="1" applyBorder="1" applyAlignment="1">
      <alignment horizontal="center"/>
    </xf>
    <xf numFmtId="10" fontId="2" fillId="0" borderId="25" xfId="0" applyNumberFormat="1" applyFont="1" applyFill="1" applyBorder="1" applyAlignment="1">
      <alignment horizontal="left"/>
    </xf>
    <xf numFmtId="10" fontId="2" fillId="0" borderId="26" xfId="0" applyNumberFormat="1" applyFont="1" applyFill="1" applyBorder="1" applyAlignment="1">
      <alignment horizontal="center"/>
    </xf>
    <xf numFmtId="10" fontId="2" fillId="0" borderId="27" xfId="0" applyNumberFormat="1" applyFont="1" applyFill="1" applyBorder="1" applyAlignment="1">
      <alignment horizontal="center"/>
    </xf>
    <xf numFmtId="10" fontId="2" fillId="0" borderId="4" xfId="0" applyNumberFormat="1" applyFont="1" applyFill="1" applyBorder="1" applyAlignment="1">
      <alignment horizontal="left"/>
    </xf>
    <xf numFmtId="10" fontId="2" fillId="0" borderId="0" xfId="0" applyNumberFormat="1" applyFont="1" applyFill="1" applyBorder="1" applyAlignment="1">
      <alignment horizontal="center"/>
    </xf>
    <xf numFmtId="10" fontId="2" fillId="0" borderId="5" xfId="0" applyNumberFormat="1" applyFont="1" applyFill="1" applyBorder="1" applyAlignment="1">
      <alignment horizontal="center"/>
    </xf>
    <xf numFmtId="10" fontId="3" fillId="0" borderId="9" xfId="0" applyNumberFormat="1" applyFont="1" applyFill="1" applyBorder="1" applyAlignment="1">
      <alignment horizontal="left"/>
    </xf>
    <xf numFmtId="10" fontId="2" fillId="0" borderId="10" xfId="0" applyNumberFormat="1" applyFont="1" applyFill="1" applyBorder="1" applyAlignment="1">
      <alignment horizontal="right"/>
    </xf>
    <xf numFmtId="10" fontId="2" fillId="0" borderId="11" xfId="0" applyNumberFormat="1" applyFont="1" applyFill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20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 indent="2"/>
    </xf>
    <xf numFmtId="49" fontId="2" fillId="0" borderId="0" xfId="0" applyNumberFormat="1" applyFont="1" applyAlignment="1">
      <alignment horizontal="right" indent="4"/>
    </xf>
    <xf numFmtId="10" fontId="4" fillId="0" borderId="0" xfId="0" applyNumberFormat="1" applyFont="1" applyAlignment="1">
      <alignment horizontal="center"/>
    </xf>
    <xf numFmtId="10" fontId="0" fillId="0" borderId="0" xfId="0" applyNumberForma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right"/>
    </xf>
    <xf numFmtId="49" fontId="5" fillId="0" borderId="3" xfId="0" applyNumberFormat="1" applyFont="1" applyBorder="1" applyAlignment="1">
      <alignment horizontal="right"/>
    </xf>
    <xf numFmtId="10" fontId="5" fillId="0" borderId="2" xfId="0" applyNumberFormat="1" applyFont="1" applyBorder="1" applyAlignment="1">
      <alignment horizontal="right" indent="2"/>
    </xf>
    <xf numFmtId="2" fontId="5" fillId="0" borderId="2" xfId="0" applyNumberFormat="1" applyFont="1" applyBorder="1" applyAlignment="1">
      <alignment horizontal="center"/>
    </xf>
    <xf numFmtId="10" fontId="5" fillId="0" borderId="1" xfId="0" applyNumberFormat="1" applyFont="1" applyBorder="1" applyAlignment="1">
      <alignment horizontal="right" indent="2"/>
    </xf>
    <xf numFmtId="2" fontId="5" fillId="0" borderId="3" xfId="0" applyNumberFormat="1" applyFont="1" applyBorder="1" applyAlignment="1">
      <alignment horizontal="right" indent="2"/>
    </xf>
    <xf numFmtId="2" fontId="5" fillId="0" borderId="2" xfId="0" applyNumberFormat="1" applyFont="1" applyBorder="1" applyAlignment="1">
      <alignment horizontal="right" indent="2"/>
    </xf>
    <xf numFmtId="0" fontId="5" fillId="0" borderId="0" xfId="0" applyFont="1"/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9" fontId="5" fillId="0" borderId="5" xfId="0" applyNumberFormat="1" applyFont="1" applyBorder="1" applyAlignment="1">
      <alignment horizontal="right"/>
    </xf>
    <xf numFmtId="10" fontId="5" fillId="0" borderId="6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10" fontId="5" fillId="0" borderId="7" xfId="0" applyNumberFormat="1" applyFont="1" applyBorder="1" applyAlignment="1">
      <alignment horizontal="right" indent="2"/>
    </xf>
    <xf numFmtId="10" fontId="5" fillId="0" borderId="6" xfId="0" applyNumberFormat="1" applyFont="1" applyBorder="1" applyAlignment="1">
      <alignment horizontal="right" indent="2"/>
    </xf>
    <xf numFmtId="2" fontId="5" fillId="0" borderId="8" xfId="0" applyNumberFormat="1" applyFont="1" applyBorder="1" applyAlignment="1">
      <alignment horizontal="right" indent="2"/>
    </xf>
    <xf numFmtId="2" fontId="5" fillId="0" borderId="6" xfId="0" applyNumberFormat="1" applyFont="1" applyBorder="1" applyAlignment="1">
      <alignment horizontal="right" indent="2"/>
    </xf>
    <xf numFmtId="49" fontId="5" fillId="0" borderId="5" xfId="0" applyNumberFormat="1" applyFont="1" applyBorder="1" applyAlignment="1">
      <alignment horizontal="center"/>
    </xf>
    <xf numFmtId="10" fontId="5" fillId="0" borderId="0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10" fontId="5" fillId="0" borderId="4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10" fontId="5" fillId="0" borderId="10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10" fontId="5" fillId="0" borderId="9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49" fontId="5" fillId="0" borderId="15" xfId="0" applyNumberFormat="1" applyFont="1" applyBorder="1" applyAlignment="1">
      <alignment horizontal="center"/>
    </xf>
    <xf numFmtId="10" fontId="6" fillId="0" borderId="16" xfId="0" applyNumberFormat="1" applyFont="1" applyBorder="1" applyAlignment="1">
      <alignment horizontal="center"/>
    </xf>
    <xf numFmtId="10" fontId="5" fillId="0" borderId="16" xfId="0" applyNumberFormat="1" applyFont="1" applyBorder="1" applyAlignment="1">
      <alignment horizontal="center"/>
    </xf>
    <xf numFmtId="10" fontId="6" fillId="0" borderId="15" xfId="0" applyNumberFormat="1" applyFont="1" applyBorder="1" applyAlignment="1">
      <alignment horizontal="center"/>
    </xf>
    <xf numFmtId="10" fontId="5" fillId="0" borderId="17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49" fontId="5" fillId="0" borderId="18" xfId="0" applyNumberFormat="1" applyFont="1" applyBorder="1" applyAlignment="1">
      <alignment horizontal="center"/>
    </xf>
    <xf numFmtId="10" fontId="6" fillId="0" borderId="19" xfId="0" applyNumberFormat="1" applyFont="1" applyBorder="1" applyAlignment="1">
      <alignment horizontal="center"/>
    </xf>
    <xf numFmtId="10" fontId="5" fillId="0" borderId="19" xfId="0" applyNumberFormat="1" applyFont="1" applyBorder="1" applyAlignment="1">
      <alignment horizontal="center"/>
    </xf>
    <xf numFmtId="10" fontId="6" fillId="0" borderId="18" xfId="0" applyNumberFormat="1" applyFont="1" applyBorder="1" applyAlignment="1">
      <alignment horizontal="center"/>
    </xf>
    <xf numFmtId="10" fontId="5" fillId="0" borderId="20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10" fontId="6" fillId="0" borderId="10" xfId="0" applyNumberFormat="1" applyFont="1" applyBorder="1" applyAlignment="1">
      <alignment horizontal="center"/>
    </xf>
    <xf numFmtId="10" fontId="5" fillId="0" borderId="24" xfId="0" applyNumberFormat="1" applyFont="1" applyBorder="1" applyAlignment="1">
      <alignment horizontal="center"/>
    </xf>
    <xf numFmtId="10" fontId="6" fillId="0" borderId="9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 indent="1"/>
    </xf>
    <xf numFmtId="0" fontId="5" fillId="0" borderId="4" xfId="0" applyFont="1" applyBorder="1" applyAlignment="1">
      <alignment horizontal="right" indent="1"/>
    </xf>
    <xf numFmtId="49" fontId="5" fillId="0" borderId="9" xfId="0" applyNumberFormat="1" applyFont="1" applyBorder="1" applyAlignment="1">
      <alignment horizontal="right"/>
    </xf>
    <xf numFmtId="49" fontId="5" fillId="0" borderId="17" xfId="0" applyNumberFormat="1" applyFont="1" applyBorder="1" applyAlignment="1">
      <alignment horizontal="center"/>
    </xf>
    <xf numFmtId="49" fontId="5" fillId="0" borderId="20" xfId="0" applyNumberFormat="1" applyFont="1" applyBorder="1" applyAlignment="1">
      <alignment horizontal="center"/>
    </xf>
    <xf numFmtId="1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28" xfId="0" applyFont="1" applyBorder="1" applyAlignment="1">
      <alignment horizontal="right" indent="1"/>
    </xf>
    <xf numFmtId="0" fontId="5" fillId="0" borderId="29" xfId="0" applyFont="1" applyBorder="1" applyAlignment="1">
      <alignment horizontal="right" indent="1"/>
    </xf>
    <xf numFmtId="49" fontId="5" fillId="0" borderId="28" xfId="0" applyNumberFormat="1" applyFont="1" applyBorder="1" applyAlignment="1">
      <alignment horizontal="center"/>
    </xf>
    <xf numFmtId="10" fontId="5" fillId="0" borderId="30" xfId="0" applyNumberFormat="1" applyFont="1" applyBorder="1" applyAlignment="1">
      <alignment horizontal="center"/>
    </xf>
    <xf numFmtId="2" fontId="5" fillId="0" borderId="29" xfId="0" applyNumberFormat="1" applyFont="1" applyBorder="1" applyAlignment="1">
      <alignment horizontal="center"/>
    </xf>
    <xf numFmtId="10" fontId="5" fillId="0" borderId="28" xfId="0" applyNumberFormat="1" applyFont="1" applyBorder="1" applyAlignment="1">
      <alignment horizontal="center"/>
    </xf>
    <xf numFmtId="2" fontId="5" fillId="0" borderId="30" xfId="0" applyNumberFormat="1" applyFont="1" applyBorder="1" applyAlignment="1">
      <alignment horizontal="center"/>
    </xf>
    <xf numFmtId="10" fontId="5" fillId="0" borderId="29" xfId="0" applyNumberFormat="1" applyFont="1" applyBorder="1" applyAlignment="1">
      <alignment horizontal="center"/>
    </xf>
    <xf numFmtId="2" fontId="5" fillId="0" borderId="28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3" fontId="5" fillId="0" borderId="4" xfId="0" applyNumberFormat="1" applyFont="1" applyBorder="1" applyAlignment="1">
      <alignment horizontal="left"/>
    </xf>
    <xf numFmtId="49" fontId="5" fillId="0" borderId="5" xfId="0" applyNumberFormat="1" applyFont="1" applyBorder="1" applyAlignment="1"/>
    <xf numFmtId="49" fontId="5" fillId="0" borderId="4" xfId="0" applyNumberFormat="1" applyFont="1" applyBorder="1" applyAlignment="1">
      <alignment horizontal="right"/>
    </xf>
    <xf numFmtId="10" fontId="5" fillId="0" borderId="0" xfId="0" applyNumberFormat="1" applyFont="1" applyBorder="1" applyAlignment="1">
      <alignment horizontal="left"/>
    </xf>
    <xf numFmtId="10" fontId="6" fillId="0" borderId="0" xfId="0" applyNumberFormat="1" applyFont="1" applyBorder="1" applyAlignment="1">
      <alignment horizontal="center"/>
    </xf>
    <xf numFmtId="10" fontId="5" fillId="0" borderId="5" xfId="0" applyNumberFormat="1" applyFont="1" applyBorder="1" applyAlignment="1">
      <alignment horizontal="left"/>
    </xf>
    <xf numFmtId="2" fontId="5" fillId="0" borderId="4" xfId="0" applyNumberFormat="1" applyFont="1" applyBorder="1" applyAlignment="1">
      <alignment horizontal="right"/>
    </xf>
    <xf numFmtId="3" fontId="5" fillId="0" borderId="9" xfId="0" applyNumberFormat="1" applyFont="1" applyBorder="1" applyAlignment="1">
      <alignment horizontal="left"/>
    </xf>
    <xf numFmtId="49" fontId="5" fillId="0" borderId="11" xfId="0" applyNumberFormat="1" applyFont="1" applyBorder="1" applyAlignment="1"/>
    <xf numFmtId="10" fontId="5" fillId="0" borderId="10" xfId="0" applyNumberFormat="1" applyFont="1" applyBorder="1" applyAlignment="1">
      <alignment horizontal="left"/>
    </xf>
    <xf numFmtId="10" fontId="5" fillId="0" borderId="11" xfId="0" applyNumberFormat="1" applyFont="1" applyBorder="1" applyAlignment="1">
      <alignment horizontal="left"/>
    </xf>
    <xf numFmtId="2" fontId="5" fillId="0" borderId="9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center"/>
    </xf>
    <xf numFmtId="167" fontId="5" fillId="0" borderId="10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2" fontId="5" fillId="0" borderId="28" xfId="0" applyNumberFormat="1" applyFont="1" applyBorder="1" applyAlignment="1">
      <alignment horizontal="right" indent="3"/>
    </xf>
    <xf numFmtId="2" fontId="5" fillId="0" borderId="4" xfId="0" applyNumberFormat="1" applyFont="1" applyBorder="1" applyAlignment="1">
      <alignment horizontal="center"/>
    </xf>
    <xf numFmtId="10" fontId="5" fillId="0" borderId="5" xfId="0" applyNumberFormat="1" applyFont="1" applyBorder="1" applyAlignment="1">
      <alignment horizontal="center"/>
    </xf>
    <xf numFmtId="10" fontId="6" fillId="0" borderId="9" xfId="0" applyNumberFormat="1" applyFont="1" applyBorder="1" applyAlignment="1">
      <alignment horizontal="left"/>
    </xf>
    <xf numFmtId="10" fontId="5" fillId="0" borderId="11" xfId="0" applyNumberFormat="1" applyFont="1" applyBorder="1" applyAlignment="1">
      <alignment horizontal="center"/>
    </xf>
    <xf numFmtId="10" fontId="5" fillId="0" borderId="30" xfId="0" applyNumberFormat="1" applyFont="1" applyBorder="1" applyAlignment="1">
      <alignment horizontal="right" indent="1"/>
    </xf>
    <xf numFmtId="10" fontId="5" fillId="0" borderId="1" xfId="0" applyNumberFormat="1" applyFont="1" applyBorder="1" applyAlignment="1">
      <alignment horizontal="right" indent="1"/>
    </xf>
    <xf numFmtId="10" fontId="5" fillId="0" borderId="7" xfId="0" applyNumberFormat="1" applyFont="1" applyBorder="1" applyAlignment="1">
      <alignment horizontal="right" indent="1"/>
    </xf>
    <xf numFmtId="0" fontId="5" fillId="0" borderId="0" xfId="0" applyFont="1" applyAlignment="1">
      <alignment horizontal="right"/>
    </xf>
    <xf numFmtId="10" fontId="5" fillId="0" borderId="0" xfId="0" applyNumberFormat="1" applyFont="1"/>
    <xf numFmtId="10" fontId="5" fillId="0" borderId="0" xfId="0" applyNumberFormat="1" applyFont="1" applyAlignment="1">
      <alignment horizontal="right" indent="1"/>
    </xf>
    <xf numFmtId="10" fontId="5" fillId="0" borderId="0" xfId="0" applyNumberFormat="1" applyFont="1" applyAlignment="1">
      <alignment horizontal="right"/>
    </xf>
    <xf numFmtId="10" fontId="6" fillId="0" borderId="0" xfId="0" applyNumberFormat="1" applyFont="1"/>
    <xf numFmtId="0" fontId="7" fillId="0" borderId="0" xfId="0" applyFont="1"/>
    <xf numFmtId="10" fontId="5" fillId="0" borderId="0" xfId="0" applyNumberFormat="1" applyFont="1" applyAlignment="1">
      <alignment horizontal="lef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/>
    <xf numFmtId="0" fontId="5" fillId="0" borderId="0" xfId="0" applyFont="1" applyBorder="1"/>
    <xf numFmtId="0" fontId="5" fillId="0" borderId="9" xfId="0" applyFont="1" applyBorder="1"/>
    <xf numFmtId="0" fontId="5" fillId="0" borderId="10" xfId="0" applyFont="1" applyBorder="1" applyAlignment="1">
      <alignment horizontal="right"/>
    </xf>
    <xf numFmtId="0" fontId="5" fillId="0" borderId="7" xfId="0" applyFont="1" applyBorder="1"/>
    <xf numFmtId="0" fontId="5" fillId="0" borderId="6" xfId="0" applyFont="1" applyBorder="1"/>
    <xf numFmtId="10" fontId="5" fillId="0" borderId="8" xfId="0" applyNumberFormat="1" applyFont="1" applyBorder="1" applyAlignment="1">
      <alignment horizontal="center"/>
    </xf>
    <xf numFmtId="10" fontId="5" fillId="0" borderId="31" xfId="0" applyNumberFormat="1" applyFont="1" applyBorder="1" applyAlignment="1">
      <alignment horizontal="right" indent="1"/>
    </xf>
    <xf numFmtId="10" fontId="5" fillId="0" borderId="32" xfId="0" applyNumberFormat="1" applyFont="1" applyBorder="1" applyAlignment="1">
      <alignment horizontal="right"/>
    </xf>
    <xf numFmtId="10" fontId="6" fillId="0" borderId="33" xfId="0" applyNumberFormat="1" applyFont="1" applyBorder="1" applyAlignment="1">
      <alignment horizontal="center"/>
    </xf>
    <xf numFmtId="10" fontId="5" fillId="0" borderId="33" xfId="0" applyNumberFormat="1" applyFont="1" applyBorder="1" applyAlignment="1">
      <alignment horizontal="center"/>
    </xf>
    <xf numFmtId="10" fontId="5" fillId="0" borderId="34" xfId="0" applyNumberFormat="1" applyFont="1" applyBorder="1" applyAlignment="1">
      <alignment horizontal="center"/>
    </xf>
    <xf numFmtId="0" fontId="5" fillId="0" borderId="35" xfId="0" applyFont="1" applyBorder="1"/>
    <xf numFmtId="0" fontId="5" fillId="0" borderId="36" xfId="0" applyFont="1" applyBorder="1"/>
    <xf numFmtId="0" fontId="5" fillId="0" borderId="37" xfId="0" applyFont="1" applyBorder="1" applyAlignment="1">
      <alignment horizontal="right"/>
    </xf>
    <xf numFmtId="0" fontId="5" fillId="0" borderId="38" xfId="0" applyFont="1" applyBorder="1" applyAlignment="1">
      <alignment horizontal="right"/>
    </xf>
    <xf numFmtId="10" fontId="5" fillId="0" borderId="33" xfId="0" applyNumberFormat="1" applyFont="1" applyBorder="1" applyAlignment="1">
      <alignment horizontal="left"/>
    </xf>
    <xf numFmtId="10" fontId="5" fillId="0" borderId="34" xfId="0" applyNumberFormat="1" applyFont="1" applyBorder="1" applyAlignment="1">
      <alignment horizontal="left"/>
    </xf>
    <xf numFmtId="49" fontId="5" fillId="0" borderId="0" xfId="0" applyNumberFormat="1" applyFont="1"/>
    <xf numFmtId="49" fontId="5" fillId="0" borderId="1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0" fontId="5" fillId="0" borderId="7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right" indent="5"/>
    </xf>
    <xf numFmtId="49" fontId="5" fillId="0" borderId="16" xfId="0" applyNumberFormat="1" applyFont="1" applyBorder="1"/>
    <xf numFmtId="49" fontId="5" fillId="0" borderId="16" xfId="0" applyNumberFormat="1" applyFont="1" applyBorder="1" applyAlignment="1">
      <alignment horizontal="right" indent="6"/>
    </xf>
    <xf numFmtId="49" fontId="5" fillId="0" borderId="16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right" indent="3"/>
    </xf>
    <xf numFmtId="49" fontId="5" fillId="0" borderId="17" xfId="0" applyNumberFormat="1" applyFont="1" applyBorder="1"/>
    <xf numFmtId="0" fontId="5" fillId="0" borderId="39" xfId="0" applyFont="1" applyBorder="1" applyAlignment="1">
      <alignment horizontal="center"/>
    </xf>
    <xf numFmtId="10" fontId="5" fillId="0" borderId="9" xfId="0" applyNumberFormat="1" applyFont="1" applyBorder="1" applyAlignment="1">
      <alignment horizontal="left"/>
    </xf>
    <xf numFmtId="10" fontId="5" fillId="0" borderId="40" xfId="0" applyNumberFormat="1" applyFont="1" applyBorder="1" applyAlignment="1">
      <alignment horizontal="center"/>
    </xf>
    <xf numFmtId="10" fontId="5" fillId="0" borderId="41" xfId="0" applyNumberFormat="1" applyFont="1" applyBorder="1" applyAlignment="1">
      <alignment horizontal="center"/>
    </xf>
    <xf numFmtId="10" fontId="2" fillId="0" borderId="0" xfId="0" applyNumberFormat="1" applyFont="1"/>
    <xf numFmtId="49" fontId="5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10" fontId="8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8" fillId="0" borderId="0" xfId="0" applyFont="1"/>
    <xf numFmtId="10" fontId="2" fillId="0" borderId="12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2" fontId="8" fillId="0" borderId="0" xfId="0" applyNumberFormat="1" applyFont="1" applyBorder="1" applyAlignment="1">
      <alignment horizontal="center"/>
    </xf>
    <xf numFmtId="10" fontId="2" fillId="0" borderId="15" xfId="0" applyNumberFormat="1" applyFont="1" applyBorder="1" applyAlignment="1">
      <alignment horizontal="center"/>
    </xf>
    <xf numFmtId="10" fontId="2" fillId="0" borderId="18" xfId="0" applyNumberFormat="1" applyFont="1" applyBorder="1" applyAlignment="1">
      <alignment horizontal="center"/>
    </xf>
    <xf numFmtId="10" fontId="2" fillId="0" borderId="15" xfId="0" applyNumberFormat="1" applyFont="1" applyBorder="1" applyAlignment="1">
      <alignment horizontal="left"/>
    </xf>
    <xf numFmtId="10" fontId="2" fillId="0" borderId="16" xfId="0" applyNumberFormat="1" applyFont="1" applyBorder="1" applyAlignment="1">
      <alignment horizontal="left"/>
    </xf>
    <xf numFmtId="10" fontId="2" fillId="0" borderId="18" xfId="0" applyNumberFormat="1" applyFont="1" applyBorder="1" applyAlignment="1">
      <alignment horizontal="left"/>
    </xf>
    <xf numFmtId="10" fontId="2" fillId="0" borderId="19" xfId="0" applyNumberFormat="1" applyFont="1" applyBorder="1" applyAlignment="1">
      <alignment horizontal="left"/>
    </xf>
    <xf numFmtId="10" fontId="2" fillId="0" borderId="9" xfId="0" applyNumberFormat="1" applyFont="1" applyBorder="1" applyAlignment="1">
      <alignment horizontal="left"/>
    </xf>
    <xf numFmtId="10" fontId="2" fillId="0" borderId="10" xfId="0" applyNumberFormat="1" applyFont="1" applyBorder="1" applyAlignment="1">
      <alignment horizontal="left"/>
    </xf>
    <xf numFmtId="10" fontId="2" fillId="0" borderId="18" xfId="0" applyNumberFormat="1" applyFont="1" applyFill="1" applyBorder="1" applyAlignment="1">
      <alignment horizontal="left"/>
    </xf>
    <xf numFmtId="10" fontId="2" fillId="0" borderId="9" xfId="0" applyNumberFormat="1" applyFont="1" applyFill="1" applyBorder="1" applyAlignment="1">
      <alignment horizontal="left"/>
    </xf>
    <xf numFmtId="165" fontId="2" fillId="0" borderId="0" xfId="0" applyNumberFormat="1" applyFont="1" applyAlignment="1">
      <alignment horizontal="right"/>
    </xf>
    <xf numFmtId="166" fontId="2" fillId="0" borderId="0" xfId="0" applyNumberFormat="1" applyFont="1" applyAlignment="1"/>
    <xf numFmtId="49" fontId="9" fillId="2" borderId="18" xfId="0" applyNumberFormat="1" applyFont="1" applyFill="1" applyBorder="1" applyAlignment="1">
      <alignment horizontal="center"/>
    </xf>
    <xf numFmtId="49" fontId="9" fillId="2" borderId="20" xfId="0" applyNumberFormat="1" applyFont="1" applyFill="1" applyBorder="1" applyAlignment="1">
      <alignment horizontal="right"/>
    </xf>
    <xf numFmtId="10" fontId="9" fillId="2" borderId="20" xfId="0" applyNumberFormat="1" applyFont="1" applyFill="1" applyBorder="1" applyAlignment="1">
      <alignment horizontal="center"/>
    </xf>
    <xf numFmtId="10" fontId="9" fillId="2" borderId="18" xfId="0" applyNumberFormat="1" applyFont="1" applyFill="1" applyBorder="1" applyAlignment="1">
      <alignment horizontal="left"/>
    </xf>
    <xf numFmtId="10" fontId="9" fillId="2" borderId="21" xfId="0" applyNumberFormat="1" applyFont="1" applyFill="1" applyBorder="1" applyAlignment="1">
      <alignment horizontal="right"/>
    </xf>
    <xf numFmtId="10" fontId="9" fillId="2" borderId="22" xfId="0" applyNumberFormat="1" applyFont="1" applyFill="1" applyBorder="1" applyAlignment="1">
      <alignment horizontal="center"/>
    </xf>
    <xf numFmtId="10" fontId="9" fillId="2" borderId="19" xfId="0" applyNumberFormat="1" applyFont="1" applyFill="1" applyBorder="1" applyAlignment="1">
      <alignment horizontal="left"/>
    </xf>
    <xf numFmtId="49" fontId="9" fillId="2" borderId="4" xfId="0" applyNumberFormat="1" applyFont="1" applyFill="1" applyBorder="1" applyAlignment="1">
      <alignment horizontal="center"/>
    </xf>
    <xf numFmtId="49" fontId="9" fillId="2" borderId="5" xfId="0" applyNumberFormat="1" applyFont="1" applyFill="1" applyBorder="1" applyAlignment="1">
      <alignment horizontal="center"/>
    </xf>
    <xf numFmtId="10" fontId="9" fillId="2" borderId="25" xfId="0" applyNumberFormat="1" applyFont="1" applyFill="1" applyBorder="1" applyAlignment="1">
      <alignment horizontal="left"/>
    </xf>
    <xf numFmtId="10" fontId="9" fillId="2" borderId="26" xfId="0" applyNumberFormat="1" applyFont="1" applyFill="1" applyBorder="1" applyAlignment="1">
      <alignment horizontal="center"/>
    </xf>
    <xf numFmtId="10" fontId="9" fillId="2" borderId="27" xfId="0" applyNumberFormat="1" applyFont="1" applyFill="1" applyBorder="1" applyAlignment="1">
      <alignment horizontal="center"/>
    </xf>
    <xf numFmtId="49" fontId="9" fillId="2" borderId="20" xfId="0" applyNumberFormat="1" applyFont="1" applyFill="1" applyBorder="1" applyAlignment="1">
      <alignment horizontal="center"/>
    </xf>
    <xf numFmtId="10" fontId="9" fillId="2" borderId="19" xfId="0" applyNumberFormat="1" applyFont="1" applyFill="1" applyBorder="1" applyAlignment="1">
      <alignment horizontal="right"/>
    </xf>
    <xf numFmtId="49" fontId="2" fillId="3" borderId="18" xfId="0" applyNumberFormat="1" applyFont="1" applyFill="1" applyBorder="1" applyAlignment="1">
      <alignment horizontal="center"/>
    </xf>
    <xf numFmtId="49" fontId="2" fillId="3" borderId="20" xfId="0" applyNumberFormat="1" applyFont="1" applyFill="1" applyBorder="1" applyAlignment="1">
      <alignment horizontal="right"/>
    </xf>
    <xf numFmtId="10" fontId="2" fillId="3" borderId="19" xfId="0" applyNumberFormat="1" applyFont="1" applyFill="1" applyBorder="1" applyAlignment="1">
      <alignment horizontal="center"/>
    </xf>
    <xf numFmtId="10" fontId="2" fillId="3" borderId="18" xfId="0" applyNumberFormat="1" applyFont="1" applyFill="1" applyBorder="1" applyAlignment="1">
      <alignment horizontal="center"/>
    </xf>
    <xf numFmtId="10" fontId="2" fillId="3" borderId="20" xfId="0" applyNumberFormat="1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/>
    </xf>
    <xf numFmtId="49" fontId="2" fillId="3" borderId="5" xfId="0" applyNumberFormat="1" applyFont="1" applyFill="1" applyBorder="1" applyAlignment="1">
      <alignment horizontal="center"/>
    </xf>
    <xf numFmtId="10" fontId="2" fillId="3" borderId="26" xfId="0" applyNumberFormat="1" applyFont="1" applyFill="1" applyBorder="1" applyAlignment="1">
      <alignment horizontal="center"/>
    </xf>
    <xf numFmtId="10" fontId="2" fillId="3" borderId="27" xfId="0" applyNumberFormat="1" applyFont="1" applyFill="1" applyBorder="1" applyAlignment="1">
      <alignment horizontal="center"/>
    </xf>
    <xf numFmtId="49" fontId="2" fillId="3" borderId="20" xfId="0" applyNumberFormat="1" applyFont="1" applyFill="1" applyBorder="1" applyAlignment="1">
      <alignment horizontal="center"/>
    </xf>
    <xf numFmtId="10" fontId="3" fillId="3" borderId="18" xfId="0" applyNumberFormat="1" applyFont="1" applyFill="1" applyBorder="1" applyAlignment="1">
      <alignment horizontal="left"/>
    </xf>
    <xf numFmtId="10" fontId="2" fillId="3" borderId="19" xfId="0" applyNumberFormat="1" applyFont="1" applyFill="1" applyBorder="1" applyAlignment="1">
      <alignment horizontal="right"/>
    </xf>
    <xf numFmtId="10" fontId="3" fillId="3" borderId="19" xfId="0" applyNumberFormat="1" applyFont="1" applyFill="1" applyBorder="1" applyAlignment="1">
      <alignment horizontal="left"/>
    </xf>
    <xf numFmtId="10" fontId="3" fillId="0" borderId="21" xfId="0" applyNumberFormat="1" applyFont="1" applyFill="1" applyBorder="1" applyAlignment="1">
      <alignment horizontal="center"/>
    </xf>
    <xf numFmtId="10" fontId="3" fillId="0" borderId="19" xfId="0" applyNumberFormat="1" applyFont="1" applyFill="1" applyBorder="1" applyAlignment="1">
      <alignment horizontal="center"/>
    </xf>
    <xf numFmtId="10" fontId="3" fillId="0" borderId="18" xfId="0" applyNumberFormat="1" applyFont="1" applyFill="1" applyBorder="1" applyAlignment="1">
      <alignment horizontal="center"/>
    </xf>
    <xf numFmtId="10" fontId="3" fillId="0" borderId="16" xfId="0" applyNumberFormat="1" applyFont="1" applyFill="1" applyBorder="1" applyAlignment="1">
      <alignment horizontal="center"/>
    </xf>
    <xf numFmtId="10" fontId="3" fillId="0" borderId="4" xfId="0" applyNumberFormat="1" applyFont="1" applyFill="1" applyBorder="1" applyAlignment="1">
      <alignment horizontal="left"/>
    </xf>
    <xf numFmtId="10" fontId="2" fillId="0" borderId="0" xfId="0" applyNumberFormat="1" applyFont="1" applyFill="1" applyBorder="1" applyAlignment="1">
      <alignment horizontal="right"/>
    </xf>
    <xf numFmtId="10" fontId="9" fillId="0" borderId="1" xfId="0" applyNumberFormat="1" applyFont="1" applyFill="1" applyBorder="1" applyAlignment="1">
      <alignment horizontal="left"/>
    </xf>
    <xf numFmtId="10" fontId="9" fillId="0" borderId="2" xfId="0" applyNumberFormat="1" applyFont="1" applyFill="1" applyBorder="1" applyAlignment="1">
      <alignment horizontal="center"/>
    </xf>
    <xf numFmtId="10" fontId="9" fillId="0" borderId="3" xfId="0" applyNumberFormat="1" applyFont="1" applyFill="1" applyBorder="1" applyAlignment="1">
      <alignment horizontal="center"/>
    </xf>
    <xf numFmtId="10" fontId="10" fillId="0" borderId="9" xfId="0" applyNumberFormat="1" applyFont="1" applyFill="1" applyBorder="1" applyAlignment="1">
      <alignment horizontal="left"/>
    </xf>
    <xf numFmtId="10" fontId="9" fillId="0" borderId="10" xfId="0" applyNumberFormat="1" applyFont="1" applyFill="1" applyBorder="1" applyAlignment="1">
      <alignment horizontal="right"/>
    </xf>
    <xf numFmtId="10" fontId="9" fillId="0" borderId="1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49" fontId="9" fillId="0" borderId="1" xfId="0" applyNumberFormat="1" applyFont="1" applyBorder="1" applyAlignment="1">
      <alignment horizontal="right" indent="1"/>
    </xf>
    <xf numFmtId="49" fontId="9" fillId="0" borderId="3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49" fontId="9" fillId="0" borderId="9" xfId="0" applyNumberFormat="1" applyFont="1" applyBorder="1" applyAlignment="1">
      <alignment horizontal="center"/>
    </xf>
    <xf numFmtId="49" fontId="9" fillId="0" borderId="11" xfId="0" applyNumberFormat="1" applyFont="1" applyBorder="1" applyAlignment="1">
      <alignment horizontal="center"/>
    </xf>
    <xf numFmtId="168" fontId="2" fillId="0" borderId="0" xfId="0" applyNumberFormat="1" applyFont="1" applyAlignment="1">
      <alignment horizontal="center"/>
    </xf>
    <xf numFmtId="14" fontId="5" fillId="0" borderId="0" xfId="0" applyNumberFormat="1" applyFont="1"/>
    <xf numFmtId="1" fontId="5" fillId="0" borderId="0" xfId="0" applyNumberFormat="1" applyFont="1"/>
    <xf numFmtId="1" fontId="5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0" fontId="6" fillId="0" borderId="4" xfId="0" applyNumberFormat="1" applyFont="1" applyBorder="1" applyAlignment="1">
      <alignment horizontal="left"/>
    </xf>
    <xf numFmtId="166" fontId="2" fillId="0" borderId="0" xfId="0" applyNumberFormat="1" applyFont="1" applyAlignment="1">
      <alignment horizontal="center"/>
    </xf>
    <xf numFmtId="10" fontId="5" fillId="0" borderId="0" xfId="0" applyNumberFormat="1" applyFont="1" applyBorder="1"/>
    <xf numFmtId="10" fontId="5" fillId="0" borderId="0" xfId="0" applyNumberFormat="1" applyFont="1" applyBorder="1" applyAlignment="1">
      <alignment horizontal="right" indent="6"/>
    </xf>
    <xf numFmtId="10" fontId="5" fillId="0" borderId="0" xfId="0" applyNumberFormat="1" applyFont="1" applyBorder="1" applyAlignment="1">
      <alignment horizontal="right" indent="1"/>
    </xf>
    <xf numFmtId="10" fontId="5" fillId="0" borderId="42" xfId="0" applyNumberFormat="1" applyFont="1" applyBorder="1" applyAlignment="1">
      <alignment horizontal="center"/>
    </xf>
    <xf numFmtId="0" fontId="2" fillId="0" borderId="43" xfId="0" applyFont="1" applyBorder="1"/>
    <xf numFmtId="10" fontId="2" fillId="0" borderId="17" xfId="0" applyNumberFormat="1" applyFont="1" applyFill="1" applyBorder="1" applyAlignment="1">
      <alignment horizontal="center"/>
    </xf>
    <xf numFmtId="165" fontId="6" fillId="0" borderId="0" xfId="0" applyNumberFormat="1" applyFont="1"/>
    <xf numFmtId="10" fontId="3" fillId="0" borderId="10" xfId="0" applyNumberFormat="1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14" fontId="7" fillId="0" borderId="0" xfId="0" applyNumberFormat="1" applyFont="1"/>
    <xf numFmtId="10" fontId="5" fillId="0" borderId="23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49" fontId="9" fillId="0" borderId="12" xfId="0" applyNumberFormat="1" applyFont="1" applyBorder="1" applyAlignment="1">
      <alignment horizontal="center"/>
    </xf>
    <xf numFmtId="49" fontId="9" fillId="0" borderId="14" xfId="0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left"/>
    </xf>
    <xf numFmtId="10" fontId="9" fillId="0" borderId="13" xfId="0" applyNumberFormat="1" applyFont="1" applyBorder="1" applyAlignment="1">
      <alignment horizontal="right"/>
    </xf>
    <xf numFmtId="10" fontId="9" fillId="0" borderId="14" xfId="0" applyNumberFormat="1" applyFont="1" applyBorder="1" applyAlignment="1">
      <alignment horizontal="center"/>
    </xf>
    <xf numFmtId="10" fontId="10" fillId="0" borderId="13" xfId="0" applyNumberFormat="1" applyFont="1" applyBorder="1" applyAlignment="1">
      <alignment horizontal="left"/>
    </xf>
    <xf numFmtId="0" fontId="9" fillId="0" borderId="13" xfId="0" applyFont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165" fontId="12" fillId="0" borderId="0" xfId="0" applyNumberFormat="1" applyFont="1" applyAlignment="1">
      <alignment horizontal="right"/>
    </xf>
    <xf numFmtId="49" fontId="2" fillId="0" borderId="13" xfId="0" applyNumberFormat="1" applyFont="1" applyBorder="1" applyAlignment="1">
      <alignment horizontal="right"/>
    </xf>
    <xf numFmtId="10" fontId="5" fillId="0" borderId="33" xfId="0" applyNumberFormat="1" applyFont="1" applyBorder="1" applyAlignment="1">
      <alignment horizontal="right"/>
    </xf>
    <xf numFmtId="10" fontId="6" fillId="0" borderId="31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5" xfId="0" applyFont="1" applyBorder="1"/>
    <xf numFmtId="0" fontId="5" fillId="0" borderId="3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170" fontId="5" fillId="0" borderId="2" xfId="0" applyNumberFormat="1" applyFont="1" applyBorder="1"/>
    <xf numFmtId="170" fontId="5" fillId="0" borderId="3" xfId="0" applyNumberFormat="1" applyFont="1" applyBorder="1"/>
    <xf numFmtId="170" fontId="5" fillId="0" borderId="0" xfId="0" applyNumberFormat="1" applyFont="1" applyBorder="1"/>
    <xf numFmtId="170" fontId="5" fillId="0" borderId="5" xfId="0" applyNumberFormat="1" applyFont="1" applyBorder="1"/>
    <xf numFmtId="170" fontId="5" fillId="0" borderId="10" xfId="0" applyNumberFormat="1" applyFont="1" applyBorder="1"/>
    <xf numFmtId="0" fontId="5" fillId="0" borderId="11" xfId="0" applyFont="1" applyBorder="1"/>
    <xf numFmtId="10" fontId="6" fillId="0" borderId="2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10" fontId="5" fillId="0" borderId="1" xfId="0" applyNumberFormat="1" applyFont="1" applyBorder="1" applyAlignment="1">
      <alignment horizontal="center"/>
    </xf>
    <xf numFmtId="0" fontId="5" fillId="0" borderId="13" xfId="0" applyFont="1" applyBorder="1"/>
    <xf numFmtId="170" fontId="5" fillId="0" borderId="14" xfId="0" applyNumberFormat="1" applyFont="1" applyBorder="1"/>
    <xf numFmtId="0" fontId="5" fillId="0" borderId="43" xfId="0" applyFont="1" applyBorder="1"/>
    <xf numFmtId="170" fontId="5" fillId="0" borderId="12" xfId="0" applyNumberFormat="1" applyFont="1" applyBorder="1"/>
    <xf numFmtId="49" fontId="5" fillId="0" borderId="35" xfId="0" applyNumberFormat="1" applyFont="1" applyBorder="1"/>
    <xf numFmtId="49" fontId="5" fillId="0" borderId="32" xfId="0" applyNumberFormat="1" applyFont="1" applyBorder="1" applyAlignment="1">
      <alignment horizontal="right"/>
    </xf>
    <xf numFmtId="0" fontId="14" fillId="0" borderId="1" xfId="0" applyFont="1" applyBorder="1"/>
    <xf numFmtId="10" fontId="14" fillId="0" borderId="31" xfId="0" applyNumberFormat="1" applyFont="1" applyBorder="1" applyAlignment="1">
      <alignment horizontal="center"/>
    </xf>
    <xf numFmtId="0" fontId="14" fillId="0" borderId="35" xfId="0" applyFont="1" applyBorder="1" applyAlignment="1">
      <alignment horizontal="right"/>
    </xf>
    <xf numFmtId="10" fontId="14" fillId="0" borderId="44" xfId="0" applyNumberFormat="1" applyFont="1" applyBorder="1" applyAlignment="1">
      <alignment horizontal="center"/>
    </xf>
    <xf numFmtId="9" fontId="5" fillId="0" borderId="44" xfId="0" applyNumberFormat="1" applyFont="1" applyBorder="1" applyAlignment="1">
      <alignment horizontal="right" indent="1"/>
    </xf>
    <xf numFmtId="49" fontId="5" fillId="0" borderId="45" xfId="0" applyNumberFormat="1" applyFont="1" applyBorder="1" applyAlignment="1">
      <alignment horizontal="right"/>
    </xf>
    <xf numFmtId="10" fontId="6" fillId="0" borderId="40" xfId="0" applyNumberFormat="1" applyFont="1" applyBorder="1" applyAlignment="1">
      <alignment horizontal="center"/>
    </xf>
    <xf numFmtId="10" fontId="5" fillId="0" borderId="2" xfId="0" applyNumberFormat="1" applyFont="1" applyBorder="1" applyAlignment="1">
      <alignment horizontal="right" indent="1"/>
    </xf>
    <xf numFmtId="49" fontId="5" fillId="0" borderId="2" xfId="0" applyNumberFormat="1" applyFont="1" applyBorder="1"/>
    <xf numFmtId="49" fontId="5" fillId="0" borderId="6" xfId="0" applyNumberFormat="1" applyFont="1" applyBorder="1"/>
    <xf numFmtId="10" fontId="5" fillId="0" borderId="46" xfId="0" applyNumberFormat="1" applyFont="1" applyBorder="1" applyAlignment="1">
      <alignment horizontal="right" indent="1"/>
    </xf>
    <xf numFmtId="49" fontId="5" fillId="0" borderId="47" xfId="0" applyNumberFormat="1" applyFont="1" applyBorder="1" applyAlignment="1">
      <alignment horizontal="right"/>
    </xf>
    <xf numFmtId="10" fontId="5" fillId="0" borderId="48" xfId="0" applyNumberFormat="1" applyFont="1" applyBorder="1" applyAlignment="1">
      <alignment horizontal="center"/>
    </xf>
    <xf numFmtId="10" fontId="5" fillId="0" borderId="49" xfId="0" applyNumberFormat="1" applyFont="1" applyBorder="1" applyAlignment="1">
      <alignment horizontal="center"/>
    </xf>
    <xf numFmtId="10" fontId="5" fillId="0" borderId="50" xfId="0" applyNumberFormat="1" applyFont="1" applyBorder="1" applyAlignment="1">
      <alignment horizontal="center"/>
    </xf>
    <xf numFmtId="10" fontId="5" fillId="0" borderId="1" xfId="0" applyNumberFormat="1" applyFont="1" applyBorder="1" applyAlignment="1">
      <alignment horizontal="left"/>
    </xf>
    <xf numFmtId="0" fontId="16" fillId="0" borderId="0" xfId="0" applyFont="1"/>
    <xf numFmtId="16" fontId="17" fillId="0" borderId="0" xfId="0" applyNumberFormat="1" applyFont="1"/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right"/>
    </xf>
    <xf numFmtId="0" fontId="8" fillId="0" borderId="1" xfId="0" applyFont="1" applyBorder="1" applyAlignment="1">
      <alignment horizontal="right" indent="2"/>
    </xf>
    <xf numFmtId="49" fontId="8" fillId="0" borderId="3" xfId="0" applyNumberFormat="1" applyFont="1" applyBorder="1" applyAlignment="1">
      <alignment horizontal="right"/>
    </xf>
    <xf numFmtId="10" fontId="8" fillId="0" borderId="2" xfId="0" applyNumberFormat="1" applyFont="1" applyBorder="1" applyAlignment="1">
      <alignment horizontal="right" indent="2"/>
    </xf>
    <xf numFmtId="2" fontId="8" fillId="0" borderId="2" xfId="0" applyNumberFormat="1" applyFont="1" applyBorder="1" applyAlignment="1">
      <alignment horizontal="center"/>
    </xf>
    <xf numFmtId="10" fontId="8" fillId="0" borderId="1" xfId="0" applyNumberFormat="1" applyFont="1" applyBorder="1" applyAlignment="1">
      <alignment horizontal="right" indent="2"/>
    </xf>
    <xf numFmtId="2" fontId="8" fillId="0" borderId="3" xfId="0" applyNumberFormat="1" applyFont="1" applyBorder="1" applyAlignment="1">
      <alignment horizontal="right" indent="2"/>
    </xf>
    <xf numFmtId="2" fontId="8" fillId="0" borderId="2" xfId="0" applyNumberFormat="1" applyFont="1" applyBorder="1" applyAlignment="1">
      <alignment horizontal="right" indent="2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right" indent="2"/>
    </xf>
    <xf numFmtId="49" fontId="8" fillId="0" borderId="5" xfId="0" applyNumberFormat="1" applyFont="1" applyBorder="1" applyAlignment="1">
      <alignment horizontal="right"/>
    </xf>
    <xf numFmtId="10" fontId="8" fillId="0" borderId="6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10" fontId="8" fillId="0" borderId="7" xfId="0" applyNumberFormat="1" applyFont="1" applyBorder="1" applyAlignment="1">
      <alignment horizontal="right" indent="2"/>
    </xf>
    <xf numFmtId="10" fontId="8" fillId="0" borderId="6" xfId="0" applyNumberFormat="1" applyFont="1" applyBorder="1" applyAlignment="1">
      <alignment horizontal="right" indent="2"/>
    </xf>
    <xf numFmtId="2" fontId="8" fillId="0" borderId="8" xfId="0" applyNumberFormat="1" applyFont="1" applyBorder="1" applyAlignment="1">
      <alignment horizontal="right" indent="2"/>
    </xf>
    <xf numFmtId="2" fontId="8" fillId="0" borderId="6" xfId="0" applyNumberFormat="1" applyFont="1" applyBorder="1" applyAlignment="1">
      <alignment horizontal="right" indent="2"/>
    </xf>
    <xf numFmtId="169" fontId="5" fillId="0" borderId="4" xfId="0" applyNumberFormat="1" applyFont="1" applyBorder="1" applyAlignment="1">
      <alignment horizontal="left"/>
    </xf>
    <xf numFmtId="10" fontId="5" fillId="0" borderId="7" xfId="0" applyNumberFormat="1" applyFont="1" applyBorder="1" applyAlignment="1">
      <alignment horizontal="right"/>
    </xf>
    <xf numFmtId="0" fontId="5" fillId="0" borderId="8" xfId="0" applyFont="1" applyBorder="1"/>
    <xf numFmtId="169" fontId="5" fillId="0" borderId="9" xfId="0" applyNumberFormat="1" applyFont="1" applyBorder="1" applyAlignment="1">
      <alignment horizontal="left"/>
    </xf>
    <xf numFmtId="0" fontId="15" fillId="0" borderId="0" xfId="1"/>
    <xf numFmtId="0" fontId="15" fillId="0" borderId="0" xfId="1" applyAlignment="1">
      <alignment horizontal="right" readingOrder="2"/>
    </xf>
    <xf numFmtId="0" fontId="20" fillId="0" borderId="0" xfId="1" applyFont="1" applyBorder="1" applyAlignment="1">
      <alignment readingOrder="2"/>
    </xf>
    <xf numFmtId="0" fontId="21" fillId="4" borderId="0" xfId="1" applyFont="1" applyFill="1" applyAlignment="1">
      <alignment horizontal="right" readingOrder="2"/>
    </xf>
    <xf numFmtId="0" fontId="15" fillId="4" borderId="0" xfId="1" applyFill="1" applyAlignment="1">
      <alignment horizontal="right" readingOrder="2"/>
    </xf>
    <xf numFmtId="0" fontId="15" fillId="4" borderId="0" xfId="1" applyFill="1"/>
    <xf numFmtId="0" fontId="18" fillId="0" borderId="0" xfId="1" applyFont="1" applyFill="1" applyAlignment="1">
      <alignment horizontal="right" vertical="center" wrapText="1" readingOrder="2"/>
    </xf>
    <xf numFmtId="0" fontId="18" fillId="0" borderId="52" xfId="1" applyFont="1" applyBorder="1" applyAlignment="1">
      <alignment horizontal="right" vertical="center" wrapText="1" readingOrder="2"/>
    </xf>
    <xf numFmtId="0" fontId="18" fillId="0" borderId="53" xfId="1" applyFont="1" applyBorder="1" applyAlignment="1">
      <alignment horizontal="right" vertical="center" wrapText="1" readingOrder="2"/>
    </xf>
    <xf numFmtId="0" fontId="15" fillId="0" borderId="52" xfId="1" applyFont="1" applyBorder="1" applyAlignment="1">
      <alignment horizontal="right" readingOrder="2"/>
    </xf>
    <xf numFmtId="10" fontId="15" fillId="0" borderId="52" xfId="1" applyNumberFormat="1" applyFont="1" applyBorder="1" applyAlignment="1">
      <alignment horizontal="right" readingOrder="2"/>
    </xf>
    <xf numFmtId="10" fontId="15" fillId="0" borderId="53" xfId="1" applyNumberFormat="1" applyFont="1" applyBorder="1" applyAlignment="1">
      <alignment vertical="center" readingOrder="2"/>
    </xf>
    <xf numFmtId="0" fontId="15" fillId="0" borderId="54" xfId="1" applyFont="1" applyBorder="1" applyAlignment="1">
      <alignment horizontal="right" readingOrder="2"/>
    </xf>
    <xf numFmtId="10" fontId="15" fillId="0" borderId="54" xfId="1" applyNumberFormat="1" applyFont="1" applyBorder="1" applyAlignment="1">
      <alignment horizontal="right" readingOrder="2"/>
    </xf>
    <xf numFmtId="10" fontId="15" fillId="0" borderId="55" xfId="1" applyNumberFormat="1" applyFont="1" applyBorder="1" applyAlignment="1">
      <alignment vertical="center" readingOrder="2"/>
    </xf>
    <xf numFmtId="0" fontId="18" fillId="0" borderId="0" xfId="1" applyFont="1" applyAlignment="1">
      <alignment horizontal="right" readingOrder="2"/>
    </xf>
    <xf numFmtId="0" fontId="24" fillId="0" borderId="0" xfId="1" applyFont="1" applyBorder="1" applyAlignment="1">
      <alignment horizontal="center" readingOrder="2"/>
    </xf>
    <xf numFmtId="0" fontId="19" fillId="4" borderId="0" xfId="1" applyFont="1" applyFill="1" applyAlignment="1">
      <alignment horizontal="right" vertical="center" readingOrder="2"/>
    </xf>
    <xf numFmtId="0" fontId="15" fillId="0" borderId="0" xfId="1" applyBorder="1"/>
    <xf numFmtId="0" fontId="15" fillId="0" borderId="52" xfId="1" applyFont="1" applyBorder="1" applyAlignment="1">
      <alignment horizontal="right" vertical="center" readingOrder="2"/>
    </xf>
    <xf numFmtId="0" fontId="24" fillId="0" borderId="0" xfId="1" applyFont="1" applyBorder="1" applyAlignment="1">
      <alignment readingOrder="2"/>
    </xf>
    <xf numFmtId="0" fontId="15" fillId="0" borderId="0" xfId="1" applyFill="1"/>
    <xf numFmtId="0" fontId="18" fillId="0" borderId="56" xfId="1" applyFont="1" applyBorder="1" applyAlignment="1">
      <alignment horizontal="right" wrapText="1" readingOrder="2"/>
    </xf>
    <xf numFmtId="0" fontId="18" fillId="0" borderId="57" xfId="1" applyFont="1" applyBorder="1" applyAlignment="1">
      <alignment horizontal="right" wrapText="1" readingOrder="2"/>
    </xf>
    <xf numFmtId="0" fontId="18" fillId="0" borderId="58" xfId="1" applyFont="1" applyBorder="1" applyAlignment="1">
      <alignment horizontal="right" wrapText="1" readingOrder="2"/>
    </xf>
    <xf numFmtId="0" fontId="15" fillId="0" borderId="51" xfId="1" applyFont="1" applyBorder="1" applyAlignment="1">
      <alignment horizontal="right" readingOrder="2"/>
    </xf>
    <xf numFmtId="10" fontId="15" fillId="0" borderId="53" xfId="1" applyNumberFormat="1" applyBorder="1" applyAlignment="1">
      <alignment horizontal="right" readingOrder="2"/>
    </xf>
    <xf numFmtId="0" fontId="15" fillId="0" borderId="59" xfId="1" applyFont="1" applyBorder="1" applyAlignment="1">
      <alignment horizontal="right" readingOrder="2"/>
    </xf>
    <xf numFmtId="0" fontId="15" fillId="0" borderId="54" xfId="1" applyFont="1" applyBorder="1" applyAlignment="1">
      <alignment horizontal="right" vertical="center" readingOrder="2"/>
    </xf>
    <xf numFmtId="10" fontId="15" fillId="0" borderId="55" xfId="1" applyNumberFormat="1" applyBorder="1" applyAlignment="1">
      <alignment horizontal="right" readingOrder="2"/>
    </xf>
    <xf numFmtId="0" fontId="24" fillId="0" borderId="2" xfId="1" applyFont="1" applyBorder="1" applyAlignment="1">
      <alignment readingOrder="2"/>
    </xf>
    <xf numFmtId="0" fontId="18" fillId="0" borderId="52" xfId="1" applyFont="1" applyBorder="1" applyAlignment="1">
      <alignment vertical="center"/>
    </xf>
    <xf numFmtId="0" fontId="15" fillId="0" borderId="52" xfId="1" applyFont="1" applyBorder="1"/>
    <xf numFmtId="0" fontId="15" fillId="0" borderId="52" xfId="1" applyBorder="1" applyAlignment="1">
      <alignment horizontal="right" readingOrder="2"/>
    </xf>
    <xf numFmtId="0" fontId="15" fillId="0" borderId="54" xfId="1" applyFont="1" applyBorder="1"/>
    <xf numFmtId="0" fontId="15" fillId="0" borderId="54" xfId="1" applyBorder="1" applyAlignment="1">
      <alignment horizontal="right" readingOrder="2"/>
    </xf>
    <xf numFmtId="0" fontId="18" fillId="0" borderId="56" xfId="1" applyFont="1" applyBorder="1" applyAlignment="1">
      <alignment vertical="center"/>
    </xf>
    <xf numFmtId="0" fontId="18" fillId="0" borderId="58" xfId="1" applyFont="1" applyBorder="1" applyAlignment="1">
      <alignment vertical="center"/>
    </xf>
    <xf numFmtId="0" fontId="15" fillId="0" borderId="51" xfId="1" applyFont="1" applyBorder="1"/>
    <xf numFmtId="0" fontId="15" fillId="0" borderId="53" xfId="1" applyBorder="1" applyAlignment="1">
      <alignment horizontal="right" readingOrder="2"/>
    </xf>
    <xf numFmtId="0" fontId="15" fillId="0" borderId="59" xfId="1" applyFont="1" applyBorder="1"/>
    <xf numFmtId="0" fontId="15" fillId="0" borderId="55" xfId="1" applyBorder="1" applyAlignment="1">
      <alignment horizontal="right" readingOrder="2"/>
    </xf>
    <xf numFmtId="0" fontId="24" fillId="0" borderId="0" xfId="1" applyFont="1"/>
    <xf numFmtId="0" fontId="19" fillId="0" borderId="0" xfId="1" applyFont="1" applyAlignment="1">
      <alignment horizontal="right" vertical="center" readingOrder="2"/>
    </xf>
    <xf numFmtId="10" fontId="15" fillId="0" borderId="51" xfId="1" applyNumberFormat="1" applyBorder="1" applyAlignment="1">
      <alignment horizontal="right" readingOrder="2"/>
    </xf>
    <xf numFmtId="10" fontId="15" fillId="0" borderId="59" xfId="1" applyNumberFormat="1" applyBorder="1" applyAlignment="1">
      <alignment horizontal="right" readingOrder="2"/>
    </xf>
    <xf numFmtId="0" fontId="15" fillId="0" borderId="0" xfId="1" applyFont="1"/>
    <xf numFmtId="0" fontId="15" fillId="5" borderId="0" xfId="1" applyFill="1"/>
    <xf numFmtId="0" fontId="22" fillId="4" borderId="0" xfId="1" applyFont="1" applyFill="1" applyAlignment="1">
      <alignment horizontal="right" vertical="center" readingOrder="2"/>
    </xf>
    <xf numFmtId="0" fontId="15" fillId="0" borderId="53" xfId="1" applyFont="1" applyBorder="1" applyAlignment="1">
      <alignment horizontal="right" readingOrder="2"/>
    </xf>
    <xf numFmtId="0" fontId="18" fillId="0" borderId="58" xfId="1" applyFont="1" applyFill="1" applyBorder="1" applyAlignment="1">
      <alignment horizontal="right" readingOrder="2"/>
    </xf>
    <xf numFmtId="0" fontId="15" fillId="0" borderId="55" xfId="1" applyFont="1" applyBorder="1" applyAlignment="1">
      <alignment horizontal="right" readingOrder="2"/>
    </xf>
    <xf numFmtId="0" fontId="24" fillId="0" borderId="0" xfId="0" applyFont="1"/>
    <xf numFmtId="0" fontId="24" fillId="0" borderId="0" xfId="1" applyFont="1" applyBorder="1" applyAlignment="1">
      <alignment horizontal="center" readingOrder="2"/>
    </xf>
    <xf numFmtId="0" fontId="24" fillId="0" borderId="33" xfId="1" applyFont="1" applyBorder="1" applyAlignment="1">
      <alignment horizontal="center" readingOrder="2"/>
    </xf>
    <xf numFmtId="0" fontId="25" fillId="0" borderId="33" xfId="1" applyFont="1" applyFill="1" applyBorder="1" applyAlignment="1">
      <alignment horizontal="center" readingOrder="2"/>
    </xf>
    <xf numFmtId="0" fontId="26" fillId="0" borderId="0" xfId="1" applyFont="1" applyFill="1" applyAlignment="1">
      <alignment horizontal="center" readingOrder="2"/>
    </xf>
    <xf numFmtId="0" fontId="15" fillId="0" borderId="0" xfId="1" applyFont="1" applyAlignment="1">
      <alignment horizontal="right" readingOrder="2"/>
    </xf>
    <xf numFmtId="0" fontId="27" fillId="0" borderId="0" xfId="1" applyFont="1" applyAlignment="1">
      <alignment horizontal="right" vertical="center" readingOrder="2"/>
    </xf>
  </cellXfs>
  <cellStyles count="2">
    <cellStyle name="Normal" xfId="0" builtinId="0"/>
    <cellStyle name="Normal 2" xfId="1" xr:uid="{00000000-0005-0000-0000-000001000000}"/>
  </cellStyles>
  <dxfs count="31">
    <dxf>
      <numFmt numFmtId="14" formatCode="0.00%"/>
      <alignment horizontal="right" vertical="bottom" textRotation="0" wrapText="0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right" vertical="center" textRotation="0" wrapText="0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alignment horizontal="right" vertical="bottom" textRotation="0" wrapText="0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right" vertical="bottom" textRotation="0" wrapText="0" indent="0" justifyLastLine="0" shrinkToFit="0" readingOrder="2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alignment horizontal="general" vertical="center" textRotation="0" wrapText="0" indent="0" justifyLastLine="0" shrinkToFit="0" readingOrder="2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alignment horizontal="right" vertical="bottom" textRotation="0" wrapText="0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right" vertical="bottom" textRotation="0" wrapText="0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bottom style="thin">
          <color indexed="64"/>
        </bottom>
      </border>
    </dxf>
    <dxf>
      <numFmt numFmtId="14" formatCode="0.00%"/>
      <alignment horizontal="right" vertical="bottom" textRotation="0" wrapText="0" indent="0" justifyLastLine="0" shrinkToFit="0" readingOrder="2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right" vertical="center" textRotation="0" wrapText="0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alignment horizontal="right" vertical="bottom" textRotation="0" wrapText="0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right" vertical="bottom" textRotation="0" wrapText="0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right" vertical="bottom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right" vertical="bottom" textRotation="0" wrapText="0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alignment horizontal="right" vertical="bottom" textRotation="0" wrapText="0" indent="0" justifyLastLine="0" shrinkToFit="0" readingOrder="2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טבלה13" displayName="טבלה13" ref="A4:C6" totalsRowShown="0" tableBorderDxfId="10">
  <autoFilter ref="A4:C6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200-000001000000}" name="מספר מוצר 0113" dataDxfId="9"/>
    <tableColumn id="2" xr3:uid="{00000000-0010-0000-0200-000002000000}" name="תעריפית שנתית תחנות" dataDxfId="8"/>
    <tableColumn id="3" xr3:uid="{00000000-0010-0000-0200-000003000000}" name="תעריפית שנתית בפירעון" dataDxfId="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טבלה5" displayName="טבלה5" ref="A30:B40" totalsRowShown="0" headerRowDxfId="30" headerRowBorderDxfId="29" tableBorderDxfId="28" totalsRowBorderDxfId="27">
  <autoFilter ref="A30:B40" xr:uid="{00000000-0009-0000-0100-000003000000}">
    <filterColumn colId="0" hiddenButton="1"/>
    <filterColumn colId="1" hiddenButton="1"/>
  </autoFilter>
  <tableColumns count="2">
    <tableColumn id="1" xr3:uid="{00000000-0010-0000-0300-000001000000}" name="תחנות" dataDxfId="26"/>
    <tableColumn id="2" xr3:uid="{00000000-0010-0000-0300-000002000000}" name="ריבית" dataDxfId="25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טבלה6" displayName="טבלה6" ref="A22:B26" totalsRowShown="0" headerRowDxfId="24" headerRowBorderDxfId="23" tableBorderDxfId="22" totalsRowBorderDxfId="21">
  <autoFilter ref="A22:B26" xr:uid="{00000000-0009-0000-0100-000004000000}">
    <filterColumn colId="0" hiddenButton="1"/>
    <filterColumn colId="1" hiddenButton="1"/>
  </autoFilter>
  <tableColumns count="2">
    <tableColumn id="1" xr3:uid="{00000000-0010-0000-0400-000001000000}" name="תחנות" dataDxfId="20"/>
    <tableColumn id="2" xr3:uid="{00000000-0010-0000-0400-000002000000}" name="ריבית" dataDxfId="19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טבלה7" displayName="טבלה7" ref="A16:D18" totalsRowShown="0" headerRowDxfId="18" headerRowBorderDxfId="17" tableBorderDxfId="16" totalsRowBorderDxfId="15">
  <autoFilter ref="A16:D18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500-000001000000}" name="מספר מוצר 0157 " dataDxfId="14"/>
    <tableColumn id="2" xr3:uid="{00000000-0010-0000-0500-000002000000}" name="תעריפית שנתית התחנה הראשונה" dataDxfId="13"/>
    <tableColumn id="3" xr3:uid="{00000000-0010-0000-0500-000003000000}" name="תעריפית שנתית תוספת לכל תחנה" dataDxfId="12"/>
    <tableColumn id="4" xr3:uid="{00000000-0010-0000-0500-000004000000}" name="תעריפית שנתית בפירעון" dataDxfId="11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6000000}" name="טבלה14" displayName="טבלה14" ref="A10:D12" totalsRowShown="0" headerRowBorderDxfId="5" tableBorderDxfId="6" totalsRowBorderDxfId="4">
  <autoFilter ref="A10:D12" xr:uid="{00000000-0009-0000-0100-00000D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600-000001000000}" name="מספר מוצר 0156" dataDxfId="3" dataCellStyle="Normal 2"/>
    <tableColumn id="2" xr3:uid="{00000000-0010-0000-0600-000002000000}" name="תעריפית שנתית התחנה הראשונה" dataDxfId="2" dataCellStyle="Normal 2"/>
    <tableColumn id="3" xr3:uid="{00000000-0010-0000-0600-000003000000}" name="תעריפית שנתית תוספת לכל תחנה" dataDxfId="1" dataCellStyle="Normal 2"/>
    <tableColumn id="4" xr3:uid="{00000000-0010-0000-0600-000004000000}" name="תעריפית שנתית בפירעון" dataDxfId="0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S39"/>
  <sheetViews>
    <sheetView rightToLeft="1" zoomScale="75" workbookViewId="0">
      <selection activeCell="G8" sqref="G8"/>
    </sheetView>
  </sheetViews>
  <sheetFormatPr defaultColWidth="8.88671875" defaultRowHeight="16.2" customHeight="1" x14ac:dyDescent="0.25"/>
  <cols>
    <col min="1" max="2" width="8.88671875" style="242" customWidth="1"/>
    <col min="3" max="3" width="14.33203125" style="242" customWidth="1"/>
    <col min="4" max="4" width="8" style="243" bestFit="1" customWidth="1"/>
    <col min="5" max="5" width="8.88671875" style="244" customWidth="1"/>
    <col min="6" max="6" width="3.6640625" style="244" customWidth="1"/>
    <col min="7" max="7" width="8.88671875" style="245" customWidth="1"/>
    <col min="8" max="8" width="9.6640625" style="244" bestFit="1" customWidth="1"/>
    <col min="9" max="9" width="3.6640625" style="244" customWidth="1"/>
    <col min="10" max="10" width="8.88671875" style="245" customWidth="1"/>
    <col min="11" max="11" width="8.88671875" style="244" customWidth="1"/>
    <col min="12" max="12" width="3.6640625" style="244" customWidth="1"/>
    <col min="13" max="13" width="8.88671875" style="245" customWidth="1"/>
    <col min="14" max="14" width="8.88671875" style="244" customWidth="1"/>
    <col min="15" max="15" width="3.6640625" style="244" customWidth="1"/>
    <col min="16" max="16" width="8.88671875" style="245" customWidth="1"/>
    <col min="17" max="17" width="9.6640625" style="244" bestFit="1" customWidth="1"/>
    <col min="18" max="18" width="3.6640625" style="244" customWidth="1"/>
    <col min="19" max="19" width="8.88671875" style="245" customWidth="1"/>
    <col min="20" max="16384" width="8.88671875" style="246"/>
  </cols>
  <sheetData>
    <row r="1" spans="1:19" s="15" customFormat="1" ht="19.95" customHeight="1" x14ac:dyDescent="0.25">
      <c r="A1" s="16" t="s">
        <v>0</v>
      </c>
      <c r="B1" s="17" t="s">
        <v>1</v>
      </c>
      <c r="C1" s="18" t="s">
        <v>4</v>
      </c>
      <c r="D1" s="19"/>
      <c r="E1" s="20" t="s">
        <v>6</v>
      </c>
      <c r="F1" s="20"/>
      <c r="G1" s="21"/>
      <c r="H1" s="22" t="s">
        <v>7</v>
      </c>
      <c r="I1" s="20"/>
      <c r="J1" s="23"/>
      <c r="K1" s="20" t="s">
        <v>9</v>
      </c>
      <c r="L1" s="20"/>
      <c r="M1" s="24"/>
      <c r="N1" s="22" t="s">
        <v>11</v>
      </c>
      <c r="O1" s="20"/>
      <c r="P1" s="23"/>
      <c r="Q1" s="20" t="s">
        <v>13</v>
      </c>
      <c r="R1" s="20"/>
      <c r="S1" s="23"/>
    </row>
    <row r="2" spans="1:19" s="15" customFormat="1" ht="19.95" customHeight="1" thickBot="1" x14ac:dyDescent="0.3">
      <c r="A2" s="25" t="s">
        <v>2</v>
      </c>
      <c r="B2" s="26" t="s">
        <v>3</v>
      </c>
      <c r="C2" s="27" t="s">
        <v>5</v>
      </c>
      <c r="D2" s="28"/>
      <c r="E2" s="29"/>
      <c r="F2" s="29"/>
      <c r="G2" s="30"/>
      <c r="H2" s="31" t="s">
        <v>8</v>
      </c>
      <c r="I2" s="32"/>
      <c r="J2" s="33"/>
      <c r="K2" s="32" t="s">
        <v>10</v>
      </c>
      <c r="L2" s="32"/>
      <c r="M2" s="34"/>
      <c r="N2" s="31" t="s">
        <v>12</v>
      </c>
      <c r="O2" s="32"/>
      <c r="P2" s="33"/>
      <c r="Q2" s="32" t="s">
        <v>14</v>
      </c>
      <c r="R2" s="32"/>
      <c r="S2" s="33"/>
    </row>
    <row r="3" spans="1:19" s="15" customFormat="1" ht="19.95" customHeight="1" thickTop="1" x14ac:dyDescent="0.25">
      <c r="A3" s="25"/>
      <c r="B3" s="26"/>
      <c r="C3" s="25"/>
      <c r="D3" s="35"/>
      <c r="E3" s="36" t="s">
        <v>15</v>
      </c>
      <c r="F3" s="36"/>
      <c r="G3" s="37" t="s">
        <v>17</v>
      </c>
      <c r="H3" s="38" t="s">
        <v>15</v>
      </c>
      <c r="I3" s="36"/>
      <c r="J3" s="39" t="s">
        <v>17</v>
      </c>
      <c r="K3" s="36" t="s">
        <v>15</v>
      </c>
      <c r="L3" s="36"/>
      <c r="M3" s="37" t="s">
        <v>17</v>
      </c>
      <c r="N3" s="38" t="s">
        <v>15</v>
      </c>
      <c r="O3" s="36"/>
      <c r="P3" s="39" t="s">
        <v>17</v>
      </c>
      <c r="Q3" s="36" t="s">
        <v>15</v>
      </c>
      <c r="R3" s="36"/>
      <c r="S3" s="39" t="s">
        <v>17</v>
      </c>
    </row>
    <row r="4" spans="1:19" s="15" customFormat="1" ht="19.95" customHeight="1" thickBot="1" x14ac:dyDescent="0.3">
      <c r="A4" s="40"/>
      <c r="B4" s="41"/>
      <c r="C4" s="40"/>
      <c r="D4" s="42"/>
      <c r="E4" s="43" t="s">
        <v>16</v>
      </c>
      <c r="F4" s="43"/>
      <c r="G4" s="44" t="s">
        <v>16</v>
      </c>
      <c r="H4" s="45" t="s">
        <v>16</v>
      </c>
      <c r="I4" s="43"/>
      <c r="J4" s="46" t="s">
        <v>16</v>
      </c>
      <c r="K4" s="43" t="s">
        <v>16</v>
      </c>
      <c r="L4" s="43"/>
      <c r="M4" s="44" t="s">
        <v>16</v>
      </c>
      <c r="N4" s="45" t="s">
        <v>16</v>
      </c>
      <c r="O4" s="43"/>
      <c r="P4" s="46" t="s">
        <v>16</v>
      </c>
      <c r="Q4" s="43" t="s">
        <v>16</v>
      </c>
      <c r="R4" s="43"/>
      <c r="S4" s="46" t="s">
        <v>16</v>
      </c>
    </row>
    <row r="6" spans="1:19" ht="16.2" customHeight="1" x14ac:dyDescent="0.3">
      <c r="A6" s="7" t="s">
        <v>18</v>
      </c>
    </row>
    <row r="7" spans="1:19" ht="15.6" customHeight="1" thickBot="1" x14ac:dyDescent="0.3"/>
    <row r="8" spans="1:19" s="15" customFormat="1" ht="18" customHeight="1" thickBot="1" x14ac:dyDescent="0.3">
      <c r="A8" s="47">
        <v>564</v>
      </c>
      <c r="B8" s="48">
        <v>58</v>
      </c>
      <c r="C8" s="47">
        <v>1</v>
      </c>
      <c r="D8" s="49" t="s">
        <v>20</v>
      </c>
      <c r="E8" s="51">
        <v>6.5000000000000002E-2</v>
      </c>
      <c r="F8" s="51"/>
      <c r="G8" s="51">
        <f>(1+E8/365)^365-1</f>
        <v>6.7152848769616247E-2</v>
      </c>
      <c r="H8" s="247">
        <v>7.0999999999999994E-2</v>
      </c>
      <c r="I8" s="51"/>
      <c r="J8" s="53">
        <f>(1+H8/365)^365-1</f>
        <v>7.3573813262135301E-2</v>
      </c>
      <c r="K8" s="51">
        <v>7.3999999999999996E-2</v>
      </c>
      <c r="L8" s="51"/>
      <c r="M8" s="51">
        <f>(1+K8/365)^365-1</f>
        <v>7.6798729091966722E-2</v>
      </c>
      <c r="N8" s="247">
        <v>8.1000000000000003E-2</v>
      </c>
      <c r="O8" s="51"/>
      <c r="P8" s="53">
        <f>(1+N8/365)^365-1</f>
        <v>8.4361152083080482E-2</v>
      </c>
      <c r="Q8" s="51">
        <v>8.1000000000000003E-2</v>
      </c>
      <c r="R8" s="51"/>
      <c r="S8" s="53">
        <f>(1+Q8/365)^365-1</f>
        <v>8.4361152083080482E-2</v>
      </c>
    </row>
    <row r="10" spans="1:19" ht="16.2" customHeight="1" x14ac:dyDescent="0.3">
      <c r="A10" s="7" t="s">
        <v>19</v>
      </c>
      <c r="G10" s="248"/>
    </row>
    <row r="11" spans="1:19" ht="16.2" customHeight="1" thickBot="1" x14ac:dyDescent="0.3">
      <c r="G11" s="249"/>
    </row>
    <row r="12" spans="1:19" s="15" customFormat="1" ht="21" customHeight="1" x14ac:dyDescent="0.25">
      <c r="A12" s="54">
        <v>377</v>
      </c>
      <c r="B12" s="55">
        <v>164</v>
      </c>
      <c r="C12" s="56" t="s">
        <v>22</v>
      </c>
      <c r="D12" s="57" t="s">
        <v>20</v>
      </c>
      <c r="E12" s="59">
        <v>7.5999999999999998E-2</v>
      </c>
      <c r="F12" s="59"/>
      <c r="G12" s="59">
        <f>(1+E12/365)^365-1</f>
        <v>7.8954038269262394E-2</v>
      </c>
      <c r="H12" s="250">
        <v>7.8E-2</v>
      </c>
      <c r="I12" s="59"/>
      <c r="J12" s="61">
        <f>(1+H12/365)^365-1</f>
        <v>8.1113649648321795E-2</v>
      </c>
      <c r="K12" s="59">
        <v>8.6999999999999994E-2</v>
      </c>
      <c r="L12" s="59"/>
      <c r="M12" s="59">
        <f>(1+K12/365)^365-1</f>
        <v>9.088537061915325E-2</v>
      </c>
      <c r="N12" s="250">
        <v>0.09</v>
      </c>
      <c r="O12" s="59"/>
      <c r="P12" s="61">
        <f>(1+N12/365)^365-1</f>
        <v>9.4162144930034941E-2</v>
      </c>
      <c r="Q12" s="59">
        <v>0.09</v>
      </c>
      <c r="R12" s="59"/>
      <c r="S12" s="61">
        <f>(1+Q12/365)^365-1</f>
        <v>9.4162144930034941E-2</v>
      </c>
    </row>
    <row r="13" spans="1:19" s="15" customFormat="1" ht="21" customHeight="1" x14ac:dyDescent="0.25">
      <c r="A13" s="62">
        <v>328</v>
      </c>
      <c r="B13" s="63">
        <v>351</v>
      </c>
      <c r="C13" s="64" t="s">
        <v>23</v>
      </c>
      <c r="D13" s="65" t="s">
        <v>20</v>
      </c>
      <c r="E13" s="67">
        <v>7.5999999999999998E-2</v>
      </c>
      <c r="F13" s="67"/>
      <c r="G13" s="67">
        <f>(1+E13/24)^24-1</f>
        <v>7.8833020219884364E-2</v>
      </c>
      <c r="H13" s="251">
        <v>7.8E-2</v>
      </c>
      <c r="I13" s="67"/>
      <c r="J13" s="69">
        <f>(1+H13/24)^24-1</f>
        <v>8.098593120113784E-2</v>
      </c>
      <c r="K13" s="67">
        <v>8.6999999999999994E-2</v>
      </c>
      <c r="L13" s="67"/>
      <c r="M13" s="67">
        <f>(1+K13/24)^24-1</f>
        <v>9.0725087034749796E-2</v>
      </c>
      <c r="N13" s="251">
        <v>0.09</v>
      </c>
      <c r="O13" s="67"/>
      <c r="P13" s="69">
        <f>(1+N13/24)^24-1</f>
        <v>9.3990117605939005E-2</v>
      </c>
      <c r="Q13" s="67">
        <v>0.09</v>
      </c>
      <c r="R13" s="67"/>
      <c r="S13" s="69">
        <f>(1+Q13/24)^24-1</f>
        <v>9.3990117605939005E-2</v>
      </c>
    </row>
    <row r="14" spans="1:19" s="15" customFormat="1" ht="21" customHeight="1" x14ac:dyDescent="0.25">
      <c r="A14" s="62">
        <v>154</v>
      </c>
      <c r="B14" s="63">
        <v>375</v>
      </c>
      <c r="C14" s="64" t="s">
        <v>24</v>
      </c>
      <c r="D14" s="65" t="s">
        <v>20</v>
      </c>
      <c r="E14" s="67">
        <v>7.6999999999999999E-2</v>
      </c>
      <c r="F14" s="67"/>
      <c r="G14" s="67">
        <f>(1+E14/12)^12-1</f>
        <v>7.9776429584676345E-2</v>
      </c>
      <c r="H14" s="251">
        <v>7.9000000000000001E-2</v>
      </c>
      <c r="I14" s="67"/>
      <c r="J14" s="69">
        <f>(1+H14/12)^12-1</f>
        <v>8.1924169169775851E-2</v>
      </c>
      <c r="K14" s="67">
        <v>8.7999999999999995E-2</v>
      </c>
      <c r="L14" s="67"/>
      <c r="M14" s="67">
        <f>(1+K14/12)^12-1</f>
        <v>9.1637543320898907E-2</v>
      </c>
      <c r="N14" s="251">
        <v>0.09</v>
      </c>
      <c r="O14" s="67"/>
      <c r="P14" s="69">
        <f>(1+N14/12)^12-1</f>
        <v>9.3806897670984268E-2</v>
      </c>
      <c r="Q14" s="67">
        <v>0.09</v>
      </c>
      <c r="R14" s="67"/>
      <c r="S14" s="69">
        <f>(1+Q14/12)^12-1</f>
        <v>9.3806897670984268E-2</v>
      </c>
    </row>
    <row r="15" spans="1:19" s="15" customFormat="1" ht="21" customHeight="1" x14ac:dyDescent="0.25">
      <c r="A15" s="62">
        <v>446</v>
      </c>
      <c r="B15" s="63">
        <v>456</v>
      </c>
      <c r="C15" s="276" t="s">
        <v>71</v>
      </c>
      <c r="D15" s="277" t="s">
        <v>21</v>
      </c>
      <c r="E15" s="278">
        <v>0.112</v>
      </c>
      <c r="F15" s="278"/>
      <c r="G15" s="278">
        <f>(1+E15/4)^4-1</f>
        <v>0.11679242265599998</v>
      </c>
      <c r="H15" s="279">
        <v>0.112</v>
      </c>
      <c r="I15" s="278"/>
      <c r="J15" s="280">
        <f>(1+H15/4)^4-1</f>
        <v>0.11679242265599998</v>
      </c>
      <c r="K15" s="278">
        <v>0.112</v>
      </c>
      <c r="L15" s="278"/>
      <c r="M15" s="278">
        <f>(1+K15/4)^4-1</f>
        <v>0.11679242265599998</v>
      </c>
      <c r="N15" s="279">
        <v>0.112</v>
      </c>
      <c r="O15" s="278"/>
      <c r="P15" s="280">
        <f>(1+N15/4)^4-1</f>
        <v>0.11679242265599998</v>
      </c>
      <c r="Q15" s="278">
        <v>0.112</v>
      </c>
      <c r="R15" s="278"/>
      <c r="S15" s="280">
        <f>(1+Q15/4)^4-1</f>
        <v>0.11679242265599998</v>
      </c>
    </row>
    <row r="16" spans="1:19" s="15" customFormat="1" ht="21" customHeight="1" x14ac:dyDescent="0.25">
      <c r="A16" s="62">
        <v>446</v>
      </c>
      <c r="B16" s="63">
        <v>456</v>
      </c>
      <c r="C16" s="64" t="s">
        <v>72</v>
      </c>
      <c r="D16" s="65" t="s">
        <v>21</v>
      </c>
      <c r="E16" s="67">
        <v>7.2999999999999995E-2</v>
      </c>
      <c r="F16" s="67"/>
      <c r="G16" s="67">
        <f>(1+E16/2)^2-1</f>
        <v>7.4332249999999878E-2</v>
      </c>
      <c r="H16" s="251">
        <v>7.3999999999999996E-2</v>
      </c>
      <c r="I16" s="67"/>
      <c r="J16" s="69">
        <f>(1+H16/2)^2-1</f>
        <v>7.5368999999999797E-2</v>
      </c>
      <c r="K16" s="67">
        <v>8.3000000000000004E-2</v>
      </c>
      <c r="L16" s="67"/>
      <c r="M16" s="67">
        <f>(1+K16/2)^2-1</f>
        <v>8.4722250000000221E-2</v>
      </c>
      <c r="N16" s="251">
        <v>8.5000000000000006E-2</v>
      </c>
      <c r="O16" s="67"/>
      <c r="P16" s="69">
        <f>(1+N16/2)^2-1</f>
        <v>8.6806249999999974E-2</v>
      </c>
      <c r="Q16" s="67">
        <v>8.5000000000000006E-2</v>
      </c>
      <c r="R16" s="67"/>
      <c r="S16" s="69">
        <f>(1+Q16/2)^2-1</f>
        <v>8.6806249999999974E-2</v>
      </c>
    </row>
    <row r="17" spans="1:19" s="15" customFormat="1" ht="21" customHeight="1" thickBot="1" x14ac:dyDescent="0.3">
      <c r="A17" s="40">
        <v>446</v>
      </c>
      <c r="B17" s="41">
        <v>456</v>
      </c>
      <c r="C17" s="70" t="s">
        <v>27</v>
      </c>
      <c r="D17" s="71" t="s">
        <v>21</v>
      </c>
      <c r="E17" s="43">
        <v>8.5999999999999993E-2</v>
      </c>
      <c r="F17" s="43"/>
      <c r="G17" s="43">
        <f>E17</f>
        <v>8.5999999999999993E-2</v>
      </c>
      <c r="H17" s="45">
        <v>8.7999999999999995E-2</v>
      </c>
      <c r="I17" s="43"/>
      <c r="J17" s="74">
        <f>H17</f>
        <v>8.7999999999999995E-2</v>
      </c>
      <c r="K17" s="43">
        <v>0.09</v>
      </c>
      <c r="L17" s="43"/>
      <c r="M17" s="43">
        <f>K17</f>
        <v>0.09</v>
      </c>
      <c r="N17" s="45">
        <v>9.2999999999999999E-2</v>
      </c>
      <c r="O17" s="43"/>
      <c r="P17" s="74">
        <f>N17</f>
        <v>9.2999999999999999E-2</v>
      </c>
      <c r="Q17" s="43">
        <v>9.2999999999999999E-2</v>
      </c>
      <c r="R17" s="43"/>
      <c r="S17" s="74">
        <f>Q17</f>
        <v>9.2999999999999999E-2</v>
      </c>
    </row>
    <row r="19" spans="1:19" ht="16.2" customHeight="1" x14ac:dyDescent="0.3">
      <c r="A19" s="7" t="s">
        <v>33</v>
      </c>
    </row>
    <row r="20" spans="1:19" ht="16.2" customHeight="1" thickBot="1" x14ac:dyDescent="0.3"/>
    <row r="21" spans="1:19" s="15" customFormat="1" ht="21" customHeight="1" x14ac:dyDescent="0.25">
      <c r="A21" s="54">
        <v>117</v>
      </c>
      <c r="B21" s="55">
        <v>127</v>
      </c>
      <c r="C21" s="56" t="s">
        <v>24</v>
      </c>
      <c r="D21" s="101" t="s">
        <v>20</v>
      </c>
      <c r="E21" s="252">
        <v>5.5E-2</v>
      </c>
      <c r="F21" s="75" t="s">
        <v>28</v>
      </c>
      <c r="G21" s="61">
        <f>(1+($D$39-E21)/12)^12-1</f>
        <v>7.7632598856030688E-2</v>
      </c>
      <c r="H21" s="253">
        <v>0.05</v>
      </c>
      <c r="I21" s="75" t="s">
        <v>28</v>
      </c>
      <c r="J21" s="61">
        <f>(1+($D$39-H21)/12)^12-1</f>
        <v>8.2999506807510004E-2</v>
      </c>
      <c r="K21" s="253">
        <v>0.04</v>
      </c>
      <c r="L21" s="75" t="s">
        <v>28</v>
      </c>
      <c r="M21" s="61">
        <f>(1+($D$39-K21)/12)^12-1</f>
        <v>9.3806897670984268E-2</v>
      </c>
      <c r="N21" s="252">
        <v>0.04</v>
      </c>
      <c r="O21" s="75" t="s">
        <v>28</v>
      </c>
      <c r="P21" s="61">
        <f>(1+($D$39-N21)/12)^12-1</f>
        <v>9.3806897670984268E-2</v>
      </c>
      <c r="Q21" s="253">
        <v>3.7499999999999999E-2</v>
      </c>
      <c r="R21" s="75" t="s">
        <v>28</v>
      </c>
      <c r="S21" s="61">
        <f>(1+($D$39-Q21)/12)^12-1</f>
        <v>9.652414766105033E-2</v>
      </c>
    </row>
    <row r="22" spans="1:19" s="15" customFormat="1" ht="21" customHeight="1" x14ac:dyDescent="0.3">
      <c r="A22" s="62">
        <v>117</v>
      </c>
      <c r="B22" s="63">
        <v>127</v>
      </c>
      <c r="C22" s="262" t="s">
        <v>71</v>
      </c>
      <c r="D22" s="263" t="s">
        <v>21</v>
      </c>
      <c r="E22" s="265">
        <v>1.9E-2</v>
      </c>
      <c r="F22" s="266" t="s">
        <v>28</v>
      </c>
      <c r="G22" s="267">
        <f>(1+($D$39-E22)/4)^4-1</f>
        <v>0.1157064449337537</v>
      </c>
      <c r="H22" s="268">
        <v>1.9E-2</v>
      </c>
      <c r="I22" s="266" t="s">
        <v>28</v>
      </c>
      <c r="J22" s="267">
        <f>(1+($D$39-H22)/4)^4-1</f>
        <v>0.1157064449337537</v>
      </c>
      <c r="K22" s="268">
        <v>1.9E-2</v>
      </c>
      <c r="L22" s="266" t="s">
        <v>28</v>
      </c>
      <c r="M22" s="267">
        <f>(1+($D$39-K22)/4)^4-1</f>
        <v>0.1157064449337537</v>
      </c>
      <c r="N22" s="265">
        <v>1.9E-2</v>
      </c>
      <c r="O22" s="266" t="s">
        <v>28</v>
      </c>
      <c r="P22" s="267">
        <f>(1+($D$39-N22)/4)^4-1</f>
        <v>0.1157064449337537</v>
      </c>
      <c r="Q22" s="268">
        <v>1.9E-2</v>
      </c>
      <c r="R22" s="266" t="s">
        <v>28</v>
      </c>
      <c r="S22" s="267">
        <f>(1+($D$39-Q22)/4)^4-1</f>
        <v>0.1157064449337537</v>
      </c>
    </row>
    <row r="23" spans="1:19" s="15" customFormat="1" ht="21" customHeight="1" x14ac:dyDescent="0.25">
      <c r="A23" s="62">
        <v>117</v>
      </c>
      <c r="B23" s="63">
        <v>127</v>
      </c>
      <c r="C23" s="64" t="s">
        <v>72</v>
      </c>
      <c r="D23" s="65" t="s">
        <v>21</v>
      </c>
      <c r="E23" s="254">
        <v>3.7499999999999999E-2</v>
      </c>
      <c r="F23" s="77" t="s">
        <v>28</v>
      </c>
      <c r="G23" s="78">
        <f>(1+($D$39-E23)/2)^2-1</f>
        <v>9.463906249999976E-2</v>
      </c>
      <c r="H23" s="255">
        <v>3.5000000000000003E-2</v>
      </c>
      <c r="I23" s="77" t="s">
        <v>28</v>
      </c>
      <c r="J23" s="78">
        <f>(1+($D$39-H23)/2)^2-1</f>
        <v>9.7256250000000266E-2</v>
      </c>
      <c r="K23" s="255">
        <v>0.03</v>
      </c>
      <c r="L23" s="77" t="s">
        <v>28</v>
      </c>
      <c r="M23" s="78">
        <f>(1+($D$39-K23)/2)^2-1</f>
        <v>0.10250000000000004</v>
      </c>
      <c r="N23" s="254">
        <v>0.03</v>
      </c>
      <c r="O23" s="77" t="s">
        <v>28</v>
      </c>
      <c r="P23" s="78">
        <f>(1+($D$39-N23)/2)^2-1</f>
        <v>0.10250000000000004</v>
      </c>
      <c r="Q23" s="255">
        <v>0.03</v>
      </c>
      <c r="R23" s="77" t="s">
        <v>28</v>
      </c>
      <c r="S23" s="78">
        <f>(1+($D$39-Q23)/2)^2-1</f>
        <v>0.10250000000000004</v>
      </c>
    </row>
    <row r="24" spans="1:19" s="15" customFormat="1" ht="21" customHeight="1" thickBot="1" x14ac:dyDescent="0.3">
      <c r="A24" s="40">
        <v>117</v>
      </c>
      <c r="B24" s="41">
        <v>127</v>
      </c>
      <c r="C24" s="70" t="s">
        <v>36</v>
      </c>
      <c r="D24" s="71" t="s">
        <v>21</v>
      </c>
      <c r="E24" s="256">
        <v>2.2499999999999999E-2</v>
      </c>
      <c r="F24" s="81" t="s">
        <v>28</v>
      </c>
      <c r="G24" s="82">
        <f>(1+($D$39-E24)/1)^1-1</f>
        <v>0.10749999999999993</v>
      </c>
      <c r="H24" s="257">
        <v>2.2499999999999999E-2</v>
      </c>
      <c r="I24" s="81" t="s">
        <v>28</v>
      </c>
      <c r="J24" s="82">
        <f>(1+($D$39-H24)/1)^1-1</f>
        <v>0.10749999999999993</v>
      </c>
      <c r="K24" s="257">
        <v>2.2499999999999999E-2</v>
      </c>
      <c r="L24" s="81" t="s">
        <v>28</v>
      </c>
      <c r="M24" s="82">
        <f>(1+($D$39-K24)/1)^1-1</f>
        <v>0.10749999999999993</v>
      </c>
      <c r="N24" s="256">
        <v>0.02</v>
      </c>
      <c r="O24" s="81" t="s">
        <v>28</v>
      </c>
      <c r="P24" s="82">
        <f>(1+($D$39-N24)/1)^1-1</f>
        <v>0.1100000000000001</v>
      </c>
      <c r="Q24" s="257">
        <v>0.02</v>
      </c>
      <c r="R24" s="81" t="s">
        <v>28</v>
      </c>
      <c r="S24" s="82">
        <f>(1+($D$39-Q24)/1)^1-1</f>
        <v>0.1100000000000001</v>
      </c>
    </row>
    <row r="26" spans="1:19" ht="16.2" customHeight="1" x14ac:dyDescent="0.3">
      <c r="A26" s="7" t="s">
        <v>29</v>
      </c>
    </row>
    <row r="27" spans="1:19" ht="16.2" customHeight="1" thickBot="1" x14ac:dyDescent="0.3"/>
    <row r="28" spans="1:19" s="15" customFormat="1" ht="19.95" customHeight="1" x14ac:dyDescent="0.25">
      <c r="A28" s="84"/>
      <c r="B28" s="85"/>
      <c r="C28" s="84"/>
      <c r="D28" s="102"/>
      <c r="E28" s="86">
        <v>7.5999999999999998E-2</v>
      </c>
      <c r="F28" s="87"/>
      <c r="G28" s="88">
        <f>(1+(E28)/12)^12-1</f>
        <v>7.8704026017795359E-2</v>
      </c>
      <c r="H28" s="86">
        <v>7.8E-2</v>
      </c>
      <c r="I28" s="87"/>
      <c r="J28" s="88">
        <f>(1+(H28)/12)^12-1</f>
        <v>8.0849810365514863E-2</v>
      </c>
      <c r="K28" s="86">
        <v>8.3000000000000004E-2</v>
      </c>
      <c r="L28" s="87"/>
      <c r="M28" s="88">
        <f>(1+(K28)/12)^12-1</f>
        <v>8.6231400831207949E-2</v>
      </c>
      <c r="N28" s="86">
        <v>8.5999999999999993E-2</v>
      </c>
      <c r="O28" s="87"/>
      <c r="P28" s="88">
        <f>(1+(N28)/12)^12-1</f>
        <v>8.9472133576280699E-2</v>
      </c>
      <c r="Q28" s="86">
        <v>8.5999999999999993E-2</v>
      </c>
      <c r="R28" s="87"/>
      <c r="S28" s="88">
        <f>(1+(Q28)/12)^12-1</f>
        <v>8.9472133576280699E-2</v>
      </c>
    </row>
    <row r="29" spans="1:19" s="15" customFormat="1" ht="19.95" customHeight="1" x14ac:dyDescent="0.25">
      <c r="A29" s="62">
        <v>166</v>
      </c>
      <c r="B29" s="63">
        <v>176</v>
      </c>
      <c r="C29" s="64" t="s">
        <v>24</v>
      </c>
      <c r="D29" s="103" t="s">
        <v>20</v>
      </c>
      <c r="E29" s="258">
        <v>5.5E-2</v>
      </c>
      <c r="F29" s="90" t="s">
        <v>28</v>
      </c>
      <c r="G29" s="91">
        <f>(1+($D$39-E29)/12)^12-1</f>
        <v>7.7632598856030688E-2</v>
      </c>
      <c r="H29" s="258">
        <v>0.05</v>
      </c>
      <c r="I29" s="90" t="s">
        <v>28</v>
      </c>
      <c r="J29" s="91">
        <f>(1+($D$39-H29)/12)^12-1</f>
        <v>8.2999506807510004E-2</v>
      </c>
      <c r="K29" s="258">
        <v>0.04</v>
      </c>
      <c r="L29" s="90" t="s">
        <v>28</v>
      </c>
      <c r="M29" s="91">
        <f>(1+($D$39-K29)/12)^12-1</f>
        <v>9.3806897670984268E-2</v>
      </c>
      <c r="N29" s="258">
        <v>3.7499999999999999E-2</v>
      </c>
      <c r="O29" s="90" t="s">
        <v>28</v>
      </c>
      <c r="P29" s="91">
        <f>(1+($D$39-N29)/12)^12-1</f>
        <v>9.652414766105033E-2</v>
      </c>
      <c r="Q29" s="258">
        <v>3.7499999999999999E-2</v>
      </c>
      <c r="R29" s="90" t="s">
        <v>28</v>
      </c>
      <c r="S29" s="91">
        <f>(1+($D$39-Q29)/12)^12-1</f>
        <v>9.652414766105033E-2</v>
      </c>
    </row>
    <row r="30" spans="1:19" s="15" customFormat="1" ht="19.95" customHeight="1" x14ac:dyDescent="0.3">
      <c r="A30" s="25"/>
      <c r="B30" s="26"/>
      <c r="C30" s="269"/>
      <c r="D30" s="270"/>
      <c r="E30" s="271">
        <v>0.105</v>
      </c>
      <c r="F30" s="272"/>
      <c r="G30" s="273">
        <f>(1+(E30)/4)^4-1</f>
        <v>0.10920720136962947</v>
      </c>
      <c r="H30" s="271">
        <v>0.105</v>
      </c>
      <c r="I30" s="272"/>
      <c r="J30" s="273">
        <f>(1+(H30)/4)^4-1</f>
        <v>0.10920720136962947</v>
      </c>
      <c r="K30" s="271">
        <v>0.105</v>
      </c>
      <c r="L30" s="272"/>
      <c r="M30" s="273">
        <f>(1+(K30)/4)^4-1</f>
        <v>0.10920720136962947</v>
      </c>
      <c r="N30" s="271">
        <v>0.105</v>
      </c>
      <c r="O30" s="272"/>
      <c r="P30" s="273">
        <f>(1+(N30)/4)^4-1</f>
        <v>0.10920720136962947</v>
      </c>
      <c r="Q30" s="271">
        <v>0.105</v>
      </c>
      <c r="R30" s="272"/>
      <c r="S30" s="273">
        <f>(1+(Q30)/4)^4-1</f>
        <v>0.10920720136962947</v>
      </c>
    </row>
    <row r="31" spans="1:19" s="15" customFormat="1" ht="19.95" customHeight="1" x14ac:dyDescent="0.3">
      <c r="A31" s="62">
        <v>166</v>
      </c>
      <c r="B31" s="63">
        <v>176</v>
      </c>
      <c r="C31" s="262" t="s">
        <v>71</v>
      </c>
      <c r="D31" s="274" t="s">
        <v>21</v>
      </c>
      <c r="E31" s="265">
        <v>0.02</v>
      </c>
      <c r="F31" s="275" t="s">
        <v>28</v>
      </c>
      <c r="G31" s="264">
        <f>(1+($D$39-E31)/4)^4-1</f>
        <v>0.11462125941406276</v>
      </c>
      <c r="H31" s="265">
        <v>0.02</v>
      </c>
      <c r="I31" s="275" t="s">
        <v>28</v>
      </c>
      <c r="J31" s="264">
        <f>(1+($D$39-H31)/4)^4-1</f>
        <v>0.11462125941406276</v>
      </c>
      <c r="K31" s="265">
        <v>0.02</v>
      </c>
      <c r="L31" s="275" t="s">
        <v>28</v>
      </c>
      <c r="M31" s="264">
        <f>(1+($D$39-K31)/4)^4-1</f>
        <v>0.11462125941406276</v>
      </c>
      <c r="N31" s="265">
        <v>0.02</v>
      </c>
      <c r="O31" s="275" t="s">
        <v>28</v>
      </c>
      <c r="P31" s="264">
        <f>(1+($D$39-N31)/4)^4-1</f>
        <v>0.11462125941406276</v>
      </c>
      <c r="Q31" s="265">
        <v>0.02</v>
      </c>
      <c r="R31" s="275" t="s">
        <v>28</v>
      </c>
      <c r="S31" s="264">
        <f>(1+($D$39-Q31)/4)^4-1</f>
        <v>0.11462125941406276</v>
      </c>
    </row>
    <row r="32" spans="1:19" s="15" customFormat="1" ht="19.95" customHeight="1" x14ac:dyDescent="0.25">
      <c r="A32" s="25"/>
      <c r="B32" s="26"/>
      <c r="C32" s="104"/>
      <c r="D32" s="35"/>
      <c r="E32" s="92">
        <v>7.1999999999999995E-2</v>
      </c>
      <c r="F32" s="93"/>
      <c r="G32" s="94">
        <f>(1+(E32)/2)^2-1</f>
        <v>7.3296000000000028E-2</v>
      </c>
      <c r="H32" s="92">
        <v>7.3999999999999996E-2</v>
      </c>
      <c r="I32" s="93"/>
      <c r="J32" s="94">
        <f>(1+(H32)/2)^2-1</f>
        <v>7.5368999999999797E-2</v>
      </c>
      <c r="K32" s="92">
        <v>8.3000000000000004E-2</v>
      </c>
      <c r="L32" s="93"/>
      <c r="M32" s="94">
        <f>(1+(K32)/2)^2-1</f>
        <v>8.4722250000000221E-2</v>
      </c>
      <c r="N32" s="92">
        <v>8.5000000000000006E-2</v>
      </c>
      <c r="O32" s="93"/>
      <c r="P32" s="94">
        <f>(1+(N32)/2)^2-1</f>
        <v>8.6806249999999974E-2</v>
      </c>
      <c r="Q32" s="92">
        <v>8.5000000000000006E-2</v>
      </c>
      <c r="R32" s="93"/>
      <c r="S32" s="94">
        <f>(1+(Q32)/2)^2-1</f>
        <v>8.6806249999999974E-2</v>
      </c>
    </row>
    <row r="33" spans="1:19" s="15" customFormat="1" ht="19.95" customHeight="1" x14ac:dyDescent="0.25">
      <c r="A33" s="62">
        <v>166</v>
      </c>
      <c r="B33" s="63">
        <v>176</v>
      </c>
      <c r="C33" s="64" t="s">
        <v>73</v>
      </c>
      <c r="D33" s="103" t="s">
        <v>21</v>
      </c>
      <c r="E33" s="258">
        <v>0.04</v>
      </c>
      <c r="F33" s="90" t="s">
        <v>28</v>
      </c>
      <c r="G33" s="91">
        <f>(1+($D$39-E33)/2)^2-1</f>
        <v>9.2024999999999801E-2</v>
      </c>
      <c r="H33" s="258">
        <v>3.5000000000000003E-2</v>
      </c>
      <c r="I33" s="90" t="s">
        <v>28</v>
      </c>
      <c r="J33" s="91">
        <f>(1+($D$39-H33)/2)^2-1</f>
        <v>9.7256250000000266E-2</v>
      </c>
      <c r="K33" s="258">
        <v>0.03</v>
      </c>
      <c r="L33" s="90" t="s">
        <v>28</v>
      </c>
      <c r="M33" s="91">
        <f>(1+($D$39-K33)/2)^2-1</f>
        <v>0.10250000000000004</v>
      </c>
      <c r="N33" s="258">
        <v>0.03</v>
      </c>
      <c r="O33" s="90" t="s">
        <v>28</v>
      </c>
      <c r="P33" s="91">
        <f>(1+($D$39-N33)/2)^2-1</f>
        <v>0.10250000000000004</v>
      </c>
      <c r="Q33" s="258">
        <v>0.03</v>
      </c>
      <c r="R33" s="90" t="s">
        <v>28</v>
      </c>
      <c r="S33" s="91">
        <f>(1+($D$39-Q33)/2)^2-1</f>
        <v>0.10250000000000004</v>
      </c>
    </row>
    <row r="34" spans="1:19" s="15" customFormat="1" ht="19.95" customHeight="1" x14ac:dyDescent="0.25">
      <c r="A34" s="25"/>
      <c r="B34" s="26"/>
      <c r="C34" s="104"/>
      <c r="D34" s="35"/>
      <c r="E34" s="95">
        <v>8.5000000000000006E-2</v>
      </c>
      <c r="F34" s="96"/>
      <c r="G34" s="97">
        <f>(1+(E34)/1)^1-1</f>
        <v>8.4999999999999964E-2</v>
      </c>
      <c r="H34" s="95">
        <v>8.5000000000000006E-2</v>
      </c>
      <c r="I34" s="96"/>
      <c r="J34" s="97">
        <f>(1+(H34)/1)^1-1</f>
        <v>8.4999999999999964E-2</v>
      </c>
      <c r="K34" s="95">
        <v>8.5000000000000006E-2</v>
      </c>
      <c r="L34" s="96"/>
      <c r="M34" s="97">
        <f>(1+(K34)/1)^1-1</f>
        <v>8.4999999999999964E-2</v>
      </c>
      <c r="N34" s="95">
        <v>8.5000000000000006E-2</v>
      </c>
      <c r="O34" s="96"/>
      <c r="P34" s="97">
        <f>(1+(N34)/1)^1-1</f>
        <v>8.4999999999999964E-2</v>
      </c>
      <c r="Q34" s="95">
        <v>8.5000000000000006E-2</v>
      </c>
      <c r="R34" s="96"/>
      <c r="S34" s="97">
        <f>(1+(Q34)/1)^1-1</f>
        <v>8.4999999999999964E-2</v>
      </c>
    </row>
    <row r="35" spans="1:19" s="15" customFormat="1" ht="19.95" customHeight="1" thickBot="1" x14ac:dyDescent="0.3">
      <c r="A35" s="40">
        <v>166</v>
      </c>
      <c r="B35" s="41">
        <v>176</v>
      </c>
      <c r="C35" s="70" t="s">
        <v>27</v>
      </c>
      <c r="D35" s="42" t="s">
        <v>21</v>
      </c>
      <c r="E35" s="259">
        <v>1.0999999999999999E-2</v>
      </c>
      <c r="F35" s="99" t="s">
        <v>28</v>
      </c>
      <c r="G35" s="100">
        <f>(1+($D$39-E35)/1)^1-1</f>
        <v>0.11899999999999999</v>
      </c>
      <c r="H35" s="259">
        <v>1.0999999999999999E-2</v>
      </c>
      <c r="I35" s="99" t="s">
        <v>28</v>
      </c>
      <c r="J35" s="100">
        <f>(1+($D$39-H35)/1)^1-1</f>
        <v>0.11899999999999999</v>
      </c>
      <c r="K35" s="259">
        <v>1.0999999999999999E-2</v>
      </c>
      <c r="L35" s="99" t="s">
        <v>28</v>
      </c>
      <c r="M35" s="100">
        <f>(1+($D$39-K35)/1)^1-1</f>
        <v>0.11899999999999999</v>
      </c>
      <c r="N35" s="259">
        <v>1.0999999999999999E-2</v>
      </c>
      <c r="O35" s="99" t="s">
        <v>28</v>
      </c>
      <c r="P35" s="100">
        <f>(1+($D$39-N35)/1)^1-1</f>
        <v>0.11899999999999999</v>
      </c>
      <c r="Q35" s="259">
        <v>1.0999999999999999E-2</v>
      </c>
      <c r="R35" s="99" t="s">
        <v>28</v>
      </c>
      <c r="S35" s="100">
        <f>(1+($D$39-Q35)/1)^1-1</f>
        <v>0.11899999999999999</v>
      </c>
    </row>
    <row r="39" spans="1:19" s="15" customFormat="1" ht="16.2" customHeight="1" x14ac:dyDescent="0.25">
      <c r="A39" s="106" t="s">
        <v>35</v>
      </c>
      <c r="B39" s="9"/>
      <c r="C39" s="260"/>
      <c r="D39" s="260">
        <v>0.13</v>
      </c>
      <c r="E39" s="105" t="s">
        <v>30</v>
      </c>
      <c r="F39" s="261"/>
      <c r="G39" s="105" t="s">
        <v>70</v>
      </c>
      <c r="H39" s="11"/>
      <c r="I39" s="11"/>
      <c r="J39" s="14"/>
      <c r="K39" s="11"/>
      <c r="L39" s="11"/>
      <c r="M39" s="14"/>
      <c r="N39" s="11"/>
      <c r="O39" s="11"/>
      <c r="P39" s="14"/>
      <c r="Q39" s="11"/>
      <c r="R39" s="11"/>
      <c r="S39" s="14"/>
    </row>
  </sheetData>
  <phoneticPr fontId="13" type="noConversion"/>
  <printOptions horizontalCentered="1" verticalCentered="1"/>
  <pageMargins left="0" right="0" top="2.5590551181102366" bottom="0.98425196850393704" header="1.1023622047244095" footer="0.51181102362204722"/>
  <pageSetup paperSize="9" scale="70" orientation="portrait" r:id="rId1"/>
  <headerFooter alignWithMargins="0">
    <oddHeader xml:space="preserve">&amp;L&amp;"Arial,Bold"&amp;16&amp;Uמספר 09/99/          &amp;C&amp;"Arial,Bold"&amp;24
&amp;Eטבלת ריבית תעריפית באפיק ההשקעה השיקלי&amp;14
&amp;16&amp;Eתאריך ההוצאה: &amp;U14/10/99&amp;U  בתוקף מ- &amp;U15/10/99&amp;R&amp;"David,Bold"&amp;20&amp;Uבנק מרכנתיל דיסקונט&amp;"Arial,Regular"&amp;10&amp;U
</oddHeader>
    <oddFooter>&amp;L&amp;A&amp;C&amp;"Arial,Bold"&amp;11F:&gt;\Nyarot\פקמים.xls&amp;Rעמוד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0"/>
  <sheetViews>
    <sheetView rightToLeft="1" workbookViewId="0"/>
  </sheetViews>
  <sheetFormatPr defaultColWidth="8.88671875" defaultRowHeight="17.399999999999999" x14ac:dyDescent="0.3"/>
  <cols>
    <col min="1" max="1" width="20" style="118" customWidth="1"/>
    <col min="2" max="2" width="11.6640625" style="199" customWidth="1"/>
    <col min="3" max="3" width="4.6640625" style="118" customWidth="1"/>
    <col min="4" max="4" width="24.6640625" style="164" customWidth="1"/>
    <col min="5" max="5" width="12.6640625" style="199" customWidth="1"/>
    <col min="6" max="6" width="4.6640625" style="118" customWidth="1"/>
    <col min="7" max="7" width="15.6640625" style="164" customWidth="1"/>
    <col min="8" max="8" width="12.6640625" style="199" customWidth="1"/>
    <col min="9" max="9" width="4.6640625" style="118" customWidth="1"/>
    <col min="10" max="10" width="14.88671875" style="118" customWidth="1"/>
    <col min="11" max="12" width="8.88671875" style="118" customWidth="1"/>
    <col min="13" max="13" width="12.88671875" style="118" customWidth="1"/>
    <col min="14" max="16384" width="8.88671875" style="118"/>
  </cols>
  <sheetData>
    <row r="1" spans="1:13" x14ac:dyDescent="0.3">
      <c r="A1" s="203" t="s">
        <v>85</v>
      </c>
      <c r="E1" s="310"/>
    </row>
    <row r="2" spans="1:13" ht="18" thickBot="1" x14ac:dyDescent="0.35">
      <c r="M2" s="192">
        <v>3.0000000000000001E-3</v>
      </c>
    </row>
    <row r="3" spans="1:13" ht="19.95" customHeight="1" x14ac:dyDescent="0.3">
      <c r="A3" s="205" t="s">
        <v>47</v>
      </c>
      <c r="B3" s="215" t="s">
        <v>57</v>
      </c>
      <c r="C3" s="220"/>
      <c r="D3" s="206" t="s">
        <v>59</v>
      </c>
      <c r="E3" s="215" t="s">
        <v>61</v>
      </c>
      <c r="F3" s="220"/>
      <c r="G3" s="207" t="s">
        <v>45</v>
      </c>
      <c r="H3" s="200"/>
      <c r="M3" s="310">
        <v>38078</v>
      </c>
    </row>
    <row r="4" spans="1:13" ht="19.95" customHeight="1" thickBot="1" x14ac:dyDescent="0.35">
      <c r="A4" s="212"/>
      <c r="B4" s="216" t="s">
        <v>58</v>
      </c>
      <c r="C4" s="221"/>
      <c r="D4" s="122" t="s">
        <v>58</v>
      </c>
      <c r="E4" s="216" t="s">
        <v>62</v>
      </c>
      <c r="F4" s="221"/>
      <c r="G4" s="214" t="s">
        <v>17</v>
      </c>
      <c r="H4" s="201"/>
    </row>
    <row r="5" spans="1:13" ht="18" thickTop="1" x14ac:dyDescent="0.3">
      <c r="A5" s="208" t="s">
        <v>48</v>
      </c>
      <c r="B5" s="217">
        <v>2.8000000000000001E-2</v>
      </c>
      <c r="C5" s="222" t="s">
        <v>56</v>
      </c>
      <c r="D5" s="129">
        <f>B14-B5</f>
        <v>2.8000000000000001E-2</v>
      </c>
      <c r="E5" s="224">
        <f>D5</f>
        <v>2.8000000000000001E-2</v>
      </c>
      <c r="F5" s="222"/>
      <c r="G5" s="192">
        <f>(1+E5/4)^4-1</f>
        <v>2.8295374400999496E-2</v>
      </c>
      <c r="H5" s="204"/>
      <c r="I5" s="198"/>
    </row>
    <row r="6" spans="1:13" x14ac:dyDescent="0.3">
      <c r="A6" s="208" t="s">
        <v>49</v>
      </c>
      <c r="B6" s="218">
        <f>B5-0.004</f>
        <v>2.4E-2</v>
      </c>
      <c r="C6" s="222" t="s">
        <v>56</v>
      </c>
      <c r="D6" s="129">
        <f>D5+0.004</f>
        <v>3.2000000000000001E-2</v>
      </c>
      <c r="E6" s="224">
        <f>E5+0.002</f>
        <v>0.03</v>
      </c>
      <c r="F6" s="222"/>
      <c r="G6" s="192">
        <f>(1+E6/2)^2-1</f>
        <v>3.0224999999999724E-2</v>
      </c>
      <c r="H6" s="204"/>
      <c r="I6" s="198"/>
    </row>
    <row r="7" spans="1:13" x14ac:dyDescent="0.3">
      <c r="A7" s="208" t="s">
        <v>50</v>
      </c>
      <c r="B7" s="218">
        <f t="shared" ref="B7:B12" si="0">B6-0.004</f>
        <v>0.02</v>
      </c>
      <c r="C7" s="222" t="s">
        <v>56</v>
      </c>
      <c r="D7" s="129">
        <f t="shared" ref="D7:D12" si="1">D6+0.004</f>
        <v>3.6000000000000004E-2</v>
      </c>
      <c r="E7" s="224">
        <f t="shared" ref="E7:E12" si="2">E6+0.002</f>
        <v>3.2000000000000001E-2</v>
      </c>
      <c r="F7" s="222"/>
      <c r="G7" s="192">
        <f>(1+E7/(4/3))^(4/3)-1</f>
        <v>3.2127324073880192E-2</v>
      </c>
      <c r="H7" s="204"/>
      <c r="I7" s="198"/>
    </row>
    <row r="8" spans="1:13" x14ac:dyDescent="0.3">
      <c r="A8" s="208" t="s">
        <v>51</v>
      </c>
      <c r="B8" s="218">
        <f t="shared" si="0"/>
        <v>1.6E-2</v>
      </c>
      <c r="C8" s="222" t="s">
        <v>56</v>
      </c>
      <c r="D8" s="129">
        <f t="shared" si="1"/>
        <v>4.0000000000000008E-2</v>
      </c>
      <c r="E8" s="224">
        <f t="shared" si="2"/>
        <v>3.4000000000000002E-2</v>
      </c>
      <c r="F8" s="222"/>
      <c r="G8" s="192">
        <f>(1+E8/1)^1-1</f>
        <v>3.400000000000003E-2</v>
      </c>
      <c r="H8" s="204"/>
      <c r="I8" s="198"/>
    </row>
    <row r="9" spans="1:13" x14ac:dyDescent="0.3">
      <c r="A9" s="208" t="s">
        <v>52</v>
      </c>
      <c r="B9" s="218">
        <f t="shared" si="0"/>
        <v>1.2E-2</v>
      </c>
      <c r="C9" s="222" t="s">
        <v>56</v>
      </c>
      <c r="D9" s="129">
        <f t="shared" si="1"/>
        <v>4.4000000000000011E-2</v>
      </c>
      <c r="E9" s="224">
        <f t="shared" si="2"/>
        <v>3.6000000000000004E-2</v>
      </c>
      <c r="F9" s="222"/>
      <c r="G9" s="192">
        <f>(1+E9/(4/5))^(4/5)-1</f>
        <v>3.5840845844166136E-2</v>
      </c>
      <c r="H9" s="204"/>
      <c r="I9" s="198"/>
    </row>
    <row r="10" spans="1:13" x14ac:dyDescent="0.3">
      <c r="A10" s="208" t="s">
        <v>53</v>
      </c>
      <c r="B10" s="218">
        <f t="shared" si="0"/>
        <v>8.0000000000000002E-3</v>
      </c>
      <c r="C10" s="222" t="s">
        <v>56</v>
      </c>
      <c r="D10" s="129">
        <f t="shared" si="1"/>
        <v>4.8000000000000015E-2</v>
      </c>
      <c r="E10" s="224">
        <f t="shared" si="2"/>
        <v>3.8000000000000006E-2</v>
      </c>
      <c r="F10" s="222"/>
      <c r="G10" s="192">
        <f>(1+E10/(4/6))^(4/6)-1</f>
        <v>3.7647852350209954E-2</v>
      </c>
      <c r="H10" s="204"/>
      <c r="I10" s="198"/>
    </row>
    <row r="11" spans="1:13" x14ac:dyDescent="0.3">
      <c r="A11" s="208" t="s">
        <v>54</v>
      </c>
      <c r="B11" s="218">
        <f t="shared" si="0"/>
        <v>4.0000000000000001E-3</v>
      </c>
      <c r="C11" s="222" t="s">
        <v>56</v>
      </c>
      <c r="D11" s="129">
        <f t="shared" si="1"/>
        <v>5.2000000000000018E-2</v>
      </c>
      <c r="E11" s="224">
        <f t="shared" si="2"/>
        <v>4.0000000000000008E-2</v>
      </c>
      <c r="F11" s="222"/>
      <c r="G11" s="192">
        <f>(1+E11/(4/7))^(4/7)-1</f>
        <v>3.9419188800348559E-2</v>
      </c>
      <c r="H11" s="204"/>
      <c r="I11" s="198"/>
    </row>
    <row r="12" spans="1:13" ht="18" thickBot="1" x14ac:dyDescent="0.35">
      <c r="A12" s="210" t="s">
        <v>55</v>
      </c>
      <c r="B12" s="219">
        <f t="shared" si="0"/>
        <v>0</v>
      </c>
      <c r="C12" s="223" t="s">
        <v>56</v>
      </c>
      <c r="D12" s="321">
        <f t="shared" si="1"/>
        <v>5.6000000000000022E-2</v>
      </c>
      <c r="E12" s="225">
        <f t="shared" si="2"/>
        <v>4.200000000000001E-2</v>
      </c>
      <c r="F12" s="223"/>
      <c r="G12" s="194">
        <f>(1+E12/(4/8))^(4/8)-1</f>
        <v>4.1153206785629726E-2</v>
      </c>
      <c r="H12" s="204"/>
      <c r="I12" s="198"/>
    </row>
    <row r="14" spans="1:13" x14ac:dyDescent="0.3">
      <c r="A14" s="164" t="s">
        <v>60</v>
      </c>
      <c r="B14" s="324">
        <f>5.3%+M2</f>
        <v>5.6000000000000001E-2</v>
      </c>
      <c r="E14" s="202"/>
      <c r="H14" s="202"/>
    </row>
    <row r="15" spans="1:13" x14ac:dyDescent="0.3">
      <c r="A15" s="118" t="s">
        <v>83</v>
      </c>
    </row>
    <row r="18" spans="1:12" x14ac:dyDescent="0.3">
      <c r="A18" s="328" t="s">
        <v>86</v>
      </c>
      <c r="E18" s="310"/>
    </row>
    <row r="19" spans="1:12" x14ac:dyDescent="0.3">
      <c r="A19" s="118" t="s">
        <v>63</v>
      </c>
    </row>
    <row r="20" spans="1:12" ht="18" thickBot="1" x14ac:dyDescent="0.35"/>
    <row r="21" spans="1:12" s="226" customFormat="1" x14ac:dyDescent="0.3">
      <c r="A21" s="227" t="s">
        <v>64</v>
      </c>
      <c r="B21" s="230" t="s">
        <v>66</v>
      </c>
      <c r="C21" s="231"/>
      <c r="D21" s="161"/>
      <c r="E21" s="232" t="s">
        <v>67</v>
      </c>
      <c r="F21" s="231"/>
      <c r="G21" s="233"/>
      <c r="H21" s="234" t="s">
        <v>68</v>
      </c>
      <c r="I21" s="231"/>
      <c r="J21" s="235"/>
    </row>
    <row r="22" spans="1:12" ht="18" thickBot="1" x14ac:dyDescent="0.35">
      <c r="A22" s="228"/>
      <c r="B22" s="229" t="s">
        <v>65</v>
      </c>
      <c r="C22" s="213"/>
      <c r="D22" s="236" t="s">
        <v>17</v>
      </c>
      <c r="E22" s="122" t="s">
        <v>65</v>
      </c>
      <c r="F22" s="213"/>
      <c r="G22" s="236" t="s">
        <v>17</v>
      </c>
      <c r="H22" s="229" t="s">
        <v>65</v>
      </c>
      <c r="I22" s="213"/>
      <c r="J22" s="236" t="s">
        <v>17</v>
      </c>
    </row>
    <row r="23" spans="1:12" ht="18" thickTop="1" x14ac:dyDescent="0.3">
      <c r="A23" s="119" t="s">
        <v>69</v>
      </c>
      <c r="B23" s="316">
        <v>1.7999999999999999E-2</v>
      </c>
      <c r="C23" s="209"/>
      <c r="D23" s="238">
        <v>1.6199999999999999E-2</v>
      </c>
      <c r="E23" s="316">
        <v>1.7999999999999999E-2</v>
      </c>
      <c r="F23" s="209"/>
      <c r="G23" s="238">
        <v>1.61E-2</v>
      </c>
      <c r="H23" s="316">
        <v>1.7999999999999999E-2</v>
      </c>
      <c r="I23" s="209"/>
      <c r="J23" s="238">
        <v>1.61E-2</v>
      </c>
      <c r="K23" s="118" t="s">
        <v>79</v>
      </c>
      <c r="L23" s="118" t="s">
        <v>80</v>
      </c>
    </row>
    <row r="24" spans="1:12" ht="18" thickBot="1" x14ac:dyDescent="0.35">
      <c r="A24" s="133" t="s">
        <v>57</v>
      </c>
      <c r="B24" s="237">
        <v>3.1E-2</v>
      </c>
      <c r="C24" s="211" t="s">
        <v>56</v>
      </c>
      <c r="D24" s="239">
        <v>2.12E-2</v>
      </c>
      <c r="E24" s="184">
        <v>3.1E-2</v>
      </c>
      <c r="F24" s="211" t="s">
        <v>56</v>
      </c>
      <c r="G24" s="239">
        <v>2.12E-2</v>
      </c>
      <c r="H24" s="237">
        <v>3.1E-2</v>
      </c>
      <c r="I24" s="211" t="s">
        <v>56</v>
      </c>
      <c r="J24" s="239">
        <v>2.1100000000000001E-2</v>
      </c>
      <c r="K24" s="118" t="s">
        <v>79</v>
      </c>
    </row>
    <row r="26" spans="1:12" x14ac:dyDescent="0.3">
      <c r="A26" s="164" t="s">
        <v>60</v>
      </c>
      <c r="B26" s="324">
        <f>5.3%+M2</f>
        <v>5.6000000000000001E-2</v>
      </c>
    </row>
    <row r="27" spans="1:12" x14ac:dyDescent="0.3">
      <c r="A27" s="118" t="s">
        <v>77</v>
      </c>
    </row>
    <row r="30" spans="1:12" x14ac:dyDescent="0.3">
      <c r="A30" s="203"/>
    </row>
    <row r="31" spans="1:12" x14ac:dyDescent="0.3">
      <c r="A31" s="310"/>
    </row>
    <row r="32" spans="1:12" x14ac:dyDescent="0.3">
      <c r="A32" s="209"/>
      <c r="B32" s="318"/>
      <c r="C32" s="209"/>
      <c r="D32" s="120"/>
      <c r="E32" s="318"/>
      <c r="F32" s="209"/>
      <c r="G32" s="120"/>
      <c r="H32" s="318"/>
      <c r="I32" s="209"/>
      <c r="J32" s="209"/>
    </row>
    <row r="33" spans="1:10" x14ac:dyDescent="0.3">
      <c r="A33" s="209"/>
      <c r="B33" s="319"/>
      <c r="C33" s="209"/>
      <c r="D33" s="120"/>
      <c r="E33" s="318"/>
      <c r="F33" s="209"/>
      <c r="G33" s="120"/>
      <c r="H33" s="318"/>
      <c r="I33" s="209"/>
      <c r="J33" s="209"/>
    </row>
    <row r="34" spans="1:10" x14ac:dyDescent="0.3">
      <c r="A34" s="209"/>
      <c r="B34" s="320"/>
      <c r="C34" s="209"/>
      <c r="D34" s="120"/>
      <c r="E34" s="320"/>
      <c r="F34" s="209"/>
      <c r="G34" s="120"/>
      <c r="H34" s="320"/>
      <c r="I34" s="209"/>
      <c r="J34" s="209"/>
    </row>
    <row r="35" spans="1:10" x14ac:dyDescent="0.3">
      <c r="A35" s="209"/>
      <c r="B35" s="178"/>
      <c r="C35" s="209"/>
      <c r="D35" s="129"/>
      <c r="E35" s="178"/>
      <c r="F35" s="209"/>
      <c r="G35" s="129"/>
      <c r="H35" s="178"/>
      <c r="I35" s="209"/>
      <c r="J35" s="209"/>
    </row>
    <row r="36" spans="1:10" x14ac:dyDescent="0.3">
      <c r="A36" s="209"/>
      <c r="B36" s="178"/>
      <c r="C36" s="209"/>
      <c r="D36" s="129"/>
      <c r="E36" s="178"/>
      <c r="F36" s="209"/>
      <c r="G36" s="129"/>
      <c r="H36" s="178"/>
      <c r="I36" s="209"/>
      <c r="J36" s="209"/>
    </row>
    <row r="37" spans="1:10" x14ac:dyDescent="0.3">
      <c r="A37" s="15"/>
    </row>
    <row r="38" spans="1:10" x14ac:dyDescent="0.3">
      <c r="A38" s="241"/>
      <c r="B38" s="240"/>
    </row>
    <row r="40" spans="1:10" x14ac:dyDescent="0.3">
      <c r="B40" s="311"/>
      <c r="C40" s="311"/>
      <c r="D40" s="312"/>
      <c r="E40" s="311"/>
      <c r="F40" s="311"/>
    </row>
  </sheetData>
  <phoneticPr fontId="1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1"/>
  <sheetViews>
    <sheetView rightToLeft="1" workbookViewId="0">
      <selection activeCell="E16" sqref="E16"/>
    </sheetView>
  </sheetViews>
  <sheetFormatPr defaultRowHeight="16.2" customHeight="1" x14ac:dyDescent="0.25"/>
  <cols>
    <col min="1" max="1" width="8.88671875" style="1" customWidth="1"/>
    <col min="2" max="2" width="11" style="1" customWidth="1"/>
    <col min="3" max="3" width="5.6640625" style="1" customWidth="1"/>
    <col min="4" max="4" width="7.33203125" style="6" customWidth="1"/>
    <col min="5" max="5" width="10.5546875" style="5" customWidth="1"/>
    <col min="6" max="6" width="0.88671875" style="5" customWidth="1"/>
    <col min="7" max="7" width="10.44140625" style="3" customWidth="1"/>
    <col min="8" max="8" width="10.5546875" style="5" customWidth="1"/>
    <col min="9" max="9" width="3.6640625" style="5" customWidth="1"/>
    <col min="10" max="10" width="10.5546875" style="3" customWidth="1"/>
    <col min="11" max="11" width="10.6640625" style="5" customWidth="1"/>
    <col min="12" max="12" width="0.88671875" style="5" customWidth="1"/>
    <col min="13" max="13" width="14.44140625" style="3" customWidth="1"/>
    <col min="14" max="14" width="10.5546875" style="5" customWidth="1"/>
    <col min="15" max="15" width="0.88671875" style="5" customWidth="1"/>
    <col min="16" max="16" width="10.5546875" style="3" customWidth="1"/>
    <col min="17" max="17" width="12.44140625" style="5" customWidth="1"/>
    <col min="18" max="18" width="0.88671875" style="5" customWidth="1"/>
    <col min="19" max="19" width="13.33203125" style="3" customWidth="1"/>
    <col min="21" max="21" width="12.109375" customWidth="1"/>
  </cols>
  <sheetData>
    <row r="1" spans="1:21" s="118" customFormat="1" ht="19.95" customHeight="1" thickBot="1" x14ac:dyDescent="0.35">
      <c r="A1" s="110" t="s">
        <v>0</v>
      </c>
      <c r="B1" s="111" t="s">
        <v>1</v>
      </c>
      <c r="C1" s="158" t="s">
        <v>4</v>
      </c>
      <c r="D1" s="112"/>
      <c r="E1" s="113" t="s">
        <v>6</v>
      </c>
      <c r="F1" s="113"/>
      <c r="G1" s="114"/>
      <c r="H1" s="115" t="s">
        <v>7</v>
      </c>
      <c r="I1" s="113"/>
      <c r="J1" s="116"/>
      <c r="K1" s="113" t="s">
        <v>9</v>
      </c>
      <c r="L1" s="113"/>
      <c r="M1" s="117"/>
      <c r="N1" s="196" t="s">
        <v>11</v>
      </c>
      <c r="O1" s="113"/>
      <c r="P1" s="116"/>
      <c r="Q1" s="113" t="s">
        <v>13</v>
      </c>
      <c r="R1" s="113"/>
      <c r="S1" s="116"/>
    </row>
    <row r="2" spans="1:21" s="118" customFormat="1" ht="19.95" customHeight="1" thickBot="1" x14ac:dyDescent="0.35">
      <c r="A2" s="119" t="s">
        <v>2</v>
      </c>
      <c r="B2" s="120" t="s">
        <v>3</v>
      </c>
      <c r="C2" s="159" t="s">
        <v>5</v>
      </c>
      <c r="D2" s="121"/>
      <c r="E2" s="122"/>
      <c r="F2" s="122"/>
      <c r="G2" s="123"/>
      <c r="H2" s="124" t="s">
        <v>8</v>
      </c>
      <c r="I2" s="125"/>
      <c r="J2" s="126"/>
      <c r="K2" s="125" t="s">
        <v>10</v>
      </c>
      <c r="L2" s="125"/>
      <c r="M2" s="127"/>
      <c r="N2" s="197" t="s">
        <v>12</v>
      </c>
      <c r="O2" s="125"/>
      <c r="P2" s="126"/>
      <c r="Q2" s="125" t="s">
        <v>14</v>
      </c>
      <c r="R2" s="125"/>
      <c r="S2" s="126"/>
      <c r="U2" s="143">
        <v>3.0000000000000001E-3</v>
      </c>
    </row>
    <row r="3" spans="1:21" s="118" customFormat="1" ht="19.95" customHeight="1" thickTop="1" x14ac:dyDescent="0.3">
      <c r="A3" s="119"/>
      <c r="B3" s="120"/>
      <c r="C3" s="119"/>
      <c r="D3" s="128"/>
      <c r="E3" s="129" t="s">
        <v>15</v>
      </c>
      <c r="F3" s="129"/>
      <c r="G3" s="130" t="s">
        <v>17</v>
      </c>
      <c r="H3" s="131" t="s">
        <v>15</v>
      </c>
      <c r="I3" s="129"/>
      <c r="J3" s="132" t="s">
        <v>17</v>
      </c>
      <c r="K3" s="129" t="s">
        <v>15</v>
      </c>
      <c r="L3" s="129"/>
      <c r="M3" s="130" t="s">
        <v>17</v>
      </c>
      <c r="N3" s="131" t="s">
        <v>15</v>
      </c>
      <c r="O3" s="129"/>
      <c r="P3" s="132" t="s">
        <v>17</v>
      </c>
      <c r="Q3" s="129" t="s">
        <v>15</v>
      </c>
      <c r="R3" s="129"/>
      <c r="S3" s="132" t="s">
        <v>17</v>
      </c>
      <c r="U3" s="310">
        <v>38078</v>
      </c>
    </row>
    <row r="4" spans="1:21" s="118" customFormat="1" ht="19.95" customHeight="1" thickBot="1" x14ac:dyDescent="0.35">
      <c r="A4" s="133"/>
      <c r="B4" s="134"/>
      <c r="C4" s="133"/>
      <c r="D4" s="135"/>
      <c r="E4" s="136" t="s">
        <v>16</v>
      </c>
      <c r="F4" s="136"/>
      <c r="G4" s="137" t="s">
        <v>16</v>
      </c>
      <c r="H4" s="138" t="s">
        <v>16</v>
      </c>
      <c r="I4" s="136"/>
      <c r="J4" s="139" t="s">
        <v>16</v>
      </c>
      <c r="K4" s="136" t="s">
        <v>16</v>
      </c>
      <c r="L4" s="136"/>
      <c r="M4" s="137" t="s">
        <v>16</v>
      </c>
      <c r="N4" s="138" t="s">
        <v>16</v>
      </c>
      <c r="O4" s="136"/>
      <c r="P4" s="139" t="s">
        <v>16</v>
      </c>
      <c r="Q4" s="136" t="s">
        <v>16</v>
      </c>
      <c r="R4" s="136"/>
      <c r="S4" s="139" t="s">
        <v>16</v>
      </c>
    </row>
    <row r="8" spans="1:21" ht="16.2" customHeight="1" thickBot="1" x14ac:dyDescent="0.3">
      <c r="G8" s="2"/>
    </row>
    <row r="9" spans="1:21" s="118" customFormat="1" ht="21" customHeight="1" x14ac:dyDescent="0.3">
      <c r="A9" s="140">
        <v>446</v>
      </c>
      <c r="B9" s="141">
        <v>456</v>
      </c>
      <c r="C9" s="142" t="s">
        <v>25</v>
      </c>
      <c r="D9" s="161" t="s">
        <v>21</v>
      </c>
      <c r="E9" s="145">
        <f>0.1%+U2</f>
        <v>4.0000000000000001E-3</v>
      </c>
      <c r="F9" s="143"/>
      <c r="G9" s="146">
        <f>(1+E9/4)^4-1</f>
        <v>4.0060040009994857E-3</v>
      </c>
      <c r="H9" s="143">
        <f>0.2%+U2</f>
        <v>5.0000000000000001E-3</v>
      </c>
      <c r="I9" s="143"/>
      <c r="J9" s="144">
        <f>(1+H9/4)^4-1</f>
        <v>5.0093828149413433E-3</v>
      </c>
      <c r="K9" s="145">
        <f>0.8%+U2</f>
        <v>1.0999999999999999E-2</v>
      </c>
      <c r="L9" s="143"/>
      <c r="M9" s="146">
        <f>(1+K9/4)^4-1</f>
        <v>1.1045458244691497E-2</v>
      </c>
      <c r="N9" s="145">
        <f>1%+U2</f>
        <v>1.3000000000000001E-2</v>
      </c>
      <c r="O9" s="143"/>
      <c r="P9" s="146">
        <f>(1+N9/4)^4-1</f>
        <v>1.3063512424066337E-2</v>
      </c>
      <c r="Q9" s="143">
        <f>1.1%+U2</f>
        <v>1.4000000000000002E-2</v>
      </c>
      <c r="R9" s="143"/>
      <c r="S9" s="146">
        <f>(1+Q9/4)^4-1</f>
        <v>1.407367165006268E-2</v>
      </c>
    </row>
    <row r="10" spans="1:21" s="118" customFormat="1" ht="21" customHeight="1" x14ac:dyDescent="0.3">
      <c r="A10" s="147">
        <v>446</v>
      </c>
      <c r="B10" s="148">
        <v>456</v>
      </c>
      <c r="C10" s="149" t="s">
        <v>26</v>
      </c>
      <c r="D10" s="162" t="s">
        <v>21</v>
      </c>
      <c r="E10" s="152">
        <f>0.1%+U2</f>
        <v>4.0000000000000001E-3</v>
      </c>
      <c r="F10" s="150"/>
      <c r="G10" s="153">
        <f>(1+E10/12)^12-1</f>
        <v>4.0073414875960722E-3</v>
      </c>
      <c r="H10" s="150">
        <f>0.3%+U2</f>
        <v>6.0000000000000001E-3</v>
      </c>
      <c r="I10" s="150"/>
      <c r="J10" s="151">
        <f>(1+H10/12)^12-1</f>
        <v>6.0165275309620458E-3</v>
      </c>
      <c r="K10" s="152">
        <f>0.9%+U2</f>
        <v>1.2E-2</v>
      </c>
      <c r="L10" s="150"/>
      <c r="M10" s="153">
        <f>(1+K10/12)^12-1</f>
        <v>1.2066220495791313E-2</v>
      </c>
      <c r="N10" s="152">
        <f>1%+U2</f>
        <v>1.3000000000000001E-2</v>
      </c>
      <c r="O10" s="150"/>
      <c r="P10" s="153">
        <f>(1+N10/12)^12-1</f>
        <v>1.3077738726959831E-2</v>
      </c>
      <c r="Q10" s="150">
        <f>1.1%+U2</f>
        <v>1.4000000000000002E-2</v>
      </c>
      <c r="R10" s="150"/>
      <c r="S10" s="153">
        <f>(1+Q10/12)^12-1</f>
        <v>1.4090183603949091E-2</v>
      </c>
    </row>
    <row r="11" spans="1:21" s="118" customFormat="1" ht="21" customHeight="1" x14ac:dyDescent="0.3">
      <c r="A11" s="147">
        <v>446</v>
      </c>
      <c r="B11" s="148">
        <v>456</v>
      </c>
      <c r="C11" s="149" t="s">
        <v>27</v>
      </c>
      <c r="D11" s="162" t="s">
        <v>21</v>
      </c>
      <c r="E11" s="152">
        <f>0.6%+U2</f>
        <v>9.0000000000000011E-3</v>
      </c>
      <c r="F11" s="150"/>
      <c r="G11" s="153">
        <f>(1+E11/12)^12-1</f>
        <v>9.0372179693090082E-3</v>
      </c>
      <c r="H11" s="150">
        <f>0.6%+U2</f>
        <v>9.0000000000000011E-3</v>
      </c>
      <c r="I11" s="150"/>
      <c r="J11" s="151">
        <f>(1+H11/12)^12-1</f>
        <v>9.0372179693090082E-3</v>
      </c>
      <c r="K11" s="152">
        <f>1.1%+U2</f>
        <v>1.4000000000000002E-2</v>
      </c>
      <c r="L11" s="150"/>
      <c r="M11" s="153">
        <f>(1+K11/12)^12-1</f>
        <v>1.4090183603949091E-2</v>
      </c>
      <c r="N11" s="152">
        <f>1.3%+U2</f>
        <v>1.6E-2</v>
      </c>
      <c r="O11" s="150"/>
      <c r="P11" s="153">
        <f>(1+N11/12)^12-1</f>
        <v>1.6117856382603435E-2</v>
      </c>
      <c r="Q11" s="150">
        <f>1.3%+U2</f>
        <v>1.6E-2</v>
      </c>
      <c r="R11" s="150"/>
      <c r="S11" s="153">
        <f>(1+Q11/12)^12-1</f>
        <v>1.6117856382603435E-2</v>
      </c>
    </row>
    <row r="12" spans="1:21" s="118" customFormat="1" ht="21" customHeight="1" thickBot="1" x14ac:dyDescent="0.35">
      <c r="A12" s="133">
        <v>446</v>
      </c>
      <c r="B12" s="134">
        <v>456</v>
      </c>
      <c r="C12" s="154" t="s">
        <v>34</v>
      </c>
      <c r="D12" s="135" t="s">
        <v>21</v>
      </c>
      <c r="E12" s="157">
        <f>0.7%+U2</f>
        <v>9.9999999999999985E-3</v>
      </c>
      <c r="F12" s="155"/>
      <c r="G12" s="156">
        <f>(1+E12/12)^12-1</f>
        <v>1.0045960887180572E-2</v>
      </c>
      <c r="H12" s="155">
        <f>0.7%+U2</f>
        <v>9.9999999999999985E-3</v>
      </c>
      <c r="I12" s="155"/>
      <c r="J12" s="329">
        <f>(1+H12/12)^12-1</f>
        <v>1.0045960887180572E-2</v>
      </c>
      <c r="K12" s="157">
        <f>1.1%+U2</f>
        <v>1.4000000000000002E-2</v>
      </c>
      <c r="L12" s="155"/>
      <c r="M12" s="156">
        <f>(1+K12/12)^12-1</f>
        <v>1.4090183603949091E-2</v>
      </c>
      <c r="N12" s="157">
        <f>1.2%+U2</f>
        <v>1.4999999999999999E-2</v>
      </c>
      <c r="O12" s="155"/>
      <c r="P12" s="156">
        <f>(1+N12/12)^12-1</f>
        <v>1.5103555898416277E-2</v>
      </c>
      <c r="Q12" s="155">
        <f>1.2%+U2</f>
        <v>1.4999999999999999E-2</v>
      </c>
      <c r="R12" s="155"/>
      <c r="S12" s="156">
        <f>(1+Q12/12)^12-1</f>
        <v>1.5103555898416277E-2</v>
      </c>
    </row>
    <row r="16" spans="1:21" ht="16.2" customHeight="1" x14ac:dyDescent="0.4">
      <c r="I16" s="108" t="s">
        <v>37</v>
      </c>
    </row>
    <row r="17" spans="1:19" s="15" customFormat="1" ht="16.2" customHeight="1" x14ac:dyDescent="0.25">
      <c r="A17" s="8"/>
      <c r="B17" s="9"/>
      <c r="C17" s="10"/>
      <c r="D17" s="107"/>
      <c r="E17" s="11"/>
      <c r="F17" s="12"/>
      <c r="G17" s="13"/>
      <c r="H17" s="11"/>
      <c r="I17" s="11"/>
      <c r="J17" s="14"/>
      <c r="K17" s="11"/>
      <c r="L17" s="11"/>
      <c r="M17" s="14"/>
      <c r="N17" s="11"/>
      <c r="O17" s="11"/>
      <c r="P17" s="14"/>
      <c r="Q17" s="11"/>
      <c r="R17" s="11"/>
      <c r="S17" s="14"/>
    </row>
    <row r="18" spans="1:19" ht="16.2" customHeight="1" x14ac:dyDescent="0.3">
      <c r="I18" s="163" t="s">
        <v>38</v>
      </c>
    </row>
    <row r="19" spans="1:19" ht="16.2" customHeight="1" x14ac:dyDescent="0.3">
      <c r="I19" s="163" t="s">
        <v>39</v>
      </c>
    </row>
    <row r="20" spans="1:19" ht="16.2" customHeight="1" thickBot="1" x14ac:dyDescent="0.3"/>
    <row r="21" spans="1:19" s="118" customFormat="1" ht="19.95" customHeight="1" thickBot="1" x14ac:dyDescent="0.35">
      <c r="A21" s="164"/>
      <c r="B21" s="165" t="s">
        <v>40</v>
      </c>
      <c r="C21" s="166"/>
      <c r="D21" s="167"/>
      <c r="E21" s="168" t="s">
        <v>41</v>
      </c>
      <c r="F21" s="168"/>
      <c r="G21" s="169"/>
      <c r="H21" s="170"/>
      <c r="I21" s="168"/>
      <c r="J21" s="171" t="s">
        <v>42</v>
      </c>
      <c r="K21" s="168"/>
      <c r="L21" s="172"/>
      <c r="M21" s="173"/>
      <c r="N21" s="168" t="s">
        <v>43</v>
      </c>
      <c r="O21" s="168"/>
      <c r="P21" s="169"/>
      <c r="Q21" s="163"/>
      <c r="R21" s="163"/>
      <c r="S21" s="174"/>
    </row>
    <row r="22" spans="1:19" s="118" customFormat="1" ht="19.95" customHeight="1" thickTop="1" x14ac:dyDescent="0.3">
      <c r="A22" s="164"/>
      <c r="B22" s="175">
        <v>50000</v>
      </c>
      <c r="C22" s="176"/>
      <c r="D22" s="177"/>
      <c r="E22" s="187">
        <f>B22*J22/12</f>
        <v>58.333333333333343</v>
      </c>
      <c r="F22" s="129"/>
      <c r="G22" s="132"/>
      <c r="H22" s="131"/>
      <c r="I22" s="178"/>
      <c r="J22" s="179">
        <f>1.1%+U2</f>
        <v>1.4000000000000002E-2</v>
      </c>
      <c r="K22" s="129"/>
      <c r="L22" s="180"/>
      <c r="M22" s="181"/>
      <c r="N22" s="129">
        <f>(1+J22/12)^12-1</f>
        <v>1.4090183603949091E-2</v>
      </c>
      <c r="O22" s="129"/>
      <c r="P22" s="132"/>
      <c r="Q22" s="163"/>
      <c r="R22" s="163"/>
      <c r="S22" s="174"/>
    </row>
    <row r="23" spans="1:19" s="118" customFormat="1" ht="19.95" customHeight="1" x14ac:dyDescent="0.3">
      <c r="A23" s="164"/>
      <c r="B23" s="175">
        <v>100000</v>
      </c>
      <c r="C23" s="176"/>
      <c r="D23" s="177"/>
      <c r="E23" s="187">
        <f>B23*J23/12</f>
        <v>133.33333333333334</v>
      </c>
      <c r="F23" s="129"/>
      <c r="G23" s="132"/>
      <c r="H23" s="131"/>
      <c r="I23" s="178"/>
      <c r="J23" s="179">
        <f>1.3%+U2</f>
        <v>1.6E-2</v>
      </c>
      <c r="K23" s="129"/>
      <c r="L23" s="180"/>
      <c r="M23" s="181"/>
      <c r="N23" s="129">
        <f>(1+J23/12)^12-1</f>
        <v>1.6117856382603435E-2</v>
      </c>
      <c r="O23" s="129"/>
      <c r="P23" s="132"/>
      <c r="Q23" s="163"/>
      <c r="R23" s="163"/>
      <c r="S23" s="174"/>
    </row>
    <row r="24" spans="1:19" s="118" customFormat="1" ht="19.95" customHeight="1" x14ac:dyDescent="0.3">
      <c r="A24" s="164"/>
      <c r="B24" s="175">
        <v>200000</v>
      </c>
      <c r="C24" s="176"/>
      <c r="D24" s="177"/>
      <c r="E24" s="187">
        <f t="shared" ref="E24:E29" si="0">B24*J24/12</f>
        <v>266.66666666666669</v>
      </c>
      <c r="F24" s="129"/>
      <c r="G24" s="132"/>
      <c r="H24" s="131"/>
      <c r="I24" s="178"/>
      <c r="J24" s="179">
        <f>1.3%+U2</f>
        <v>1.6E-2</v>
      </c>
      <c r="K24" s="129"/>
      <c r="L24" s="180"/>
      <c r="M24" s="181"/>
      <c r="N24" s="129">
        <f t="shared" ref="N24:N29" si="1">(1+J24/12)^12-1</f>
        <v>1.6117856382603435E-2</v>
      </c>
      <c r="O24" s="129"/>
      <c r="P24" s="132"/>
      <c r="Q24" s="163"/>
      <c r="R24" s="163"/>
      <c r="S24" s="174"/>
    </row>
    <row r="25" spans="1:19" s="118" customFormat="1" ht="19.95" customHeight="1" x14ac:dyDescent="0.3">
      <c r="A25" s="164"/>
      <c r="B25" s="175">
        <v>300000</v>
      </c>
      <c r="C25" s="176"/>
      <c r="D25" s="177"/>
      <c r="E25" s="187">
        <f t="shared" si="0"/>
        <v>400</v>
      </c>
      <c r="F25" s="129"/>
      <c r="G25" s="132"/>
      <c r="H25" s="131"/>
      <c r="I25" s="178"/>
      <c r="J25" s="179">
        <f>1.3%+U2</f>
        <v>1.6E-2</v>
      </c>
      <c r="K25" s="129"/>
      <c r="L25" s="180"/>
      <c r="M25" s="181"/>
      <c r="N25" s="129">
        <f t="shared" si="1"/>
        <v>1.6117856382603435E-2</v>
      </c>
      <c r="O25" s="129"/>
      <c r="P25" s="132"/>
      <c r="Q25" s="163"/>
      <c r="R25" s="163"/>
      <c r="S25" s="174"/>
    </row>
    <row r="26" spans="1:19" s="118" customFormat="1" ht="19.95" customHeight="1" x14ac:dyDescent="0.3">
      <c r="A26" s="164"/>
      <c r="B26" s="175">
        <v>400000</v>
      </c>
      <c r="C26" s="176"/>
      <c r="D26" s="177"/>
      <c r="E26" s="187">
        <f t="shared" si="0"/>
        <v>533.33333333333337</v>
      </c>
      <c r="F26" s="129"/>
      <c r="G26" s="132"/>
      <c r="H26" s="131"/>
      <c r="I26" s="178"/>
      <c r="J26" s="179">
        <f>1.3%+U2</f>
        <v>1.6E-2</v>
      </c>
      <c r="K26" s="129"/>
      <c r="L26" s="180"/>
      <c r="M26" s="181"/>
      <c r="N26" s="129">
        <f t="shared" si="1"/>
        <v>1.6117856382603435E-2</v>
      </c>
      <c r="O26" s="129"/>
      <c r="P26" s="132"/>
      <c r="Q26" s="163"/>
      <c r="R26" s="163"/>
      <c r="S26" s="174"/>
    </row>
    <row r="27" spans="1:19" s="118" customFormat="1" ht="19.95" customHeight="1" x14ac:dyDescent="0.3">
      <c r="A27" s="164"/>
      <c r="B27" s="175">
        <v>500000</v>
      </c>
      <c r="C27" s="176"/>
      <c r="D27" s="177"/>
      <c r="E27" s="187">
        <f t="shared" si="0"/>
        <v>666.66666666666663</v>
      </c>
      <c r="F27" s="129"/>
      <c r="G27" s="132"/>
      <c r="H27" s="131"/>
      <c r="I27" s="178"/>
      <c r="J27" s="179">
        <f>1.3%+U2</f>
        <v>1.6E-2</v>
      </c>
      <c r="K27" s="129"/>
      <c r="L27" s="180"/>
      <c r="M27" s="181"/>
      <c r="N27" s="129">
        <f t="shared" si="1"/>
        <v>1.6117856382603435E-2</v>
      </c>
      <c r="O27" s="129"/>
      <c r="P27" s="132"/>
      <c r="Q27" s="163"/>
      <c r="R27" s="163"/>
      <c r="S27" s="174"/>
    </row>
    <row r="28" spans="1:19" s="118" customFormat="1" ht="19.95" customHeight="1" x14ac:dyDescent="0.3">
      <c r="A28" s="164"/>
      <c r="B28" s="175">
        <v>600000</v>
      </c>
      <c r="C28" s="176"/>
      <c r="D28" s="177"/>
      <c r="E28" s="187">
        <f t="shared" si="0"/>
        <v>800</v>
      </c>
      <c r="F28" s="129"/>
      <c r="G28" s="132"/>
      <c r="H28" s="131"/>
      <c r="I28" s="178"/>
      <c r="J28" s="179">
        <f>1.3%+U2</f>
        <v>1.6E-2</v>
      </c>
      <c r="K28" s="129"/>
      <c r="L28" s="180"/>
      <c r="M28" s="181"/>
      <c r="N28" s="129">
        <f t="shared" si="1"/>
        <v>1.6117856382603435E-2</v>
      </c>
      <c r="O28" s="129"/>
      <c r="P28" s="132"/>
      <c r="Q28" s="163"/>
      <c r="R28" s="163"/>
      <c r="S28" s="174"/>
    </row>
    <row r="29" spans="1:19" s="118" customFormat="1" ht="19.95" customHeight="1" thickBot="1" x14ac:dyDescent="0.35">
      <c r="A29" s="164"/>
      <c r="B29" s="182">
        <v>700000</v>
      </c>
      <c r="C29" s="183"/>
      <c r="D29" s="160"/>
      <c r="E29" s="188">
        <f t="shared" si="0"/>
        <v>933.33333333333337</v>
      </c>
      <c r="F29" s="136"/>
      <c r="G29" s="139"/>
      <c r="H29" s="138"/>
      <c r="I29" s="184"/>
      <c r="J29" s="155">
        <f>1.3%+U2</f>
        <v>1.6E-2</v>
      </c>
      <c r="K29" s="136"/>
      <c r="L29" s="185"/>
      <c r="M29" s="186"/>
      <c r="N29" s="136">
        <f t="shared" si="1"/>
        <v>1.6117856382603435E-2</v>
      </c>
      <c r="O29" s="136"/>
      <c r="P29" s="139"/>
      <c r="Q29" s="163"/>
      <c r="R29" s="163"/>
      <c r="S29" s="174"/>
    </row>
    <row r="30" spans="1:19" ht="16.2" customHeight="1" x14ac:dyDescent="0.25">
      <c r="K30" s="109"/>
      <c r="L30" s="109"/>
      <c r="M30" s="2"/>
      <c r="N30" s="109"/>
      <c r="O30" s="109"/>
      <c r="P30" s="2"/>
    </row>
    <row r="34" spans="1:19" ht="16.2" customHeight="1" x14ac:dyDescent="0.4">
      <c r="I34" s="108" t="s">
        <v>44</v>
      </c>
    </row>
    <row r="36" spans="1:19" ht="16.2" customHeight="1" x14ac:dyDescent="0.3">
      <c r="H36" s="11" t="s">
        <v>75</v>
      </c>
      <c r="I36" s="163"/>
      <c r="J36" s="317">
        <v>37989</v>
      </c>
    </row>
    <row r="37" spans="1:19" ht="16.2" customHeight="1" x14ac:dyDescent="0.3">
      <c r="H37" s="11" t="s">
        <v>74</v>
      </c>
      <c r="I37" s="163"/>
      <c r="J37" s="309">
        <v>38078</v>
      </c>
    </row>
    <row r="38" spans="1:19" ht="16.2" customHeight="1" thickBot="1" x14ac:dyDescent="0.3"/>
    <row r="39" spans="1:19" s="118" customFormat="1" ht="16.2" customHeight="1" thickBot="1" x14ac:dyDescent="0.35">
      <c r="A39" s="164"/>
      <c r="B39" s="164"/>
      <c r="C39" s="164"/>
      <c r="D39" s="189"/>
      <c r="E39" s="163"/>
      <c r="F39" s="163"/>
      <c r="G39" s="190" t="s">
        <v>45</v>
      </c>
      <c r="H39" s="172"/>
      <c r="I39" s="195" t="s">
        <v>46</v>
      </c>
      <c r="J39" s="171"/>
      <c r="K39" s="168"/>
      <c r="L39" s="168"/>
      <c r="M39" s="169"/>
      <c r="N39" s="163"/>
      <c r="O39" s="163"/>
      <c r="P39" s="174"/>
      <c r="Q39" s="163"/>
      <c r="R39" s="163"/>
      <c r="S39" s="174"/>
    </row>
    <row r="40" spans="1:19" s="118" customFormat="1" ht="16.2" customHeight="1" thickTop="1" x14ac:dyDescent="0.3">
      <c r="A40" s="164"/>
      <c r="B40" s="164"/>
      <c r="C40" s="164"/>
      <c r="D40" s="189"/>
      <c r="E40" s="163"/>
      <c r="F40" s="163"/>
      <c r="G40" s="191"/>
      <c r="H40" s="192"/>
      <c r="I40" s="129"/>
      <c r="J40" s="130"/>
      <c r="K40" s="129"/>
      <c r="L40" s="129"/>
      <c r="M40" s="132"/>
      <c r="N40" s="163"/>
      <c r="O40" s="163"/>
      <c r="P40" s="174"/>
      <c r="Q40" s="163"/>
      <c r="R40" s="163"/>
      <c r="S40" s="174"/>
    </row>
    <row r="41" spans="1:19" s="118" customFormat="1" ht="16.2" customHeight="1" thickBot="1" x14ac:dyDescent="0.35">
      <c r="A41" s="164"/>
      <c r="B41" s="164"/>
      <c r="C41" s="164"/>
      <c r="D41" s="189"/>
      <c r="E41" s="163"/>
      <c r="F41" s="163"/>
      <c r="G41" s="193">
        <f>1.5%+U2</f>
        <v>1.7999999999999999E-2</v>
      </c>
      <c r="H41" s="194"/>
      <c r="I41" s="136"/>
      <c r="J41" s="184"/>
      <c r="K41" s="184">
        <f>(1+G41/12)^12-1</f>
        <v>1.8149245011963799E-2</v>
      </c>
      <c r="L41" s="136"/>
      <c r="M41" s="139"/>
      <c r="N41" s="163"/>
      <c r="O41" s="163"/>
      <c r="P41" s="174"/>
      <c r="Q41" s="163"/>
      <c r="R41" s="163"/>
      <c r="S41" s="174"/>
    </row>
  </sheetData>
  <phoneticPr fontId="13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45"/>
  <sheetViews>
    <sheetView rightToLeft="1" topLeftCell="A37" workbookViewId="0">
      <selection activeCell="G52" sqref="G52"/>
    </sheetView>
  </sheetViews>
  <sheetFormatPr defaultRowHeight="16.2" customHeight="1" x14ac:dyDescent="0.25"/>
  <cols>
    <col min="1" max="2" width="8.88671875" style="1" customWidth="1"/>
    <col min="3" max="3" width="6.109375" style="1" customWidth="1"/>
    <col min="4" max="4" width="9.33203125" style="6" customWidth="1"/>
    <col min="5" max="5" width="11.109375" style="5" customWidth="1"/>
    <col min="6" max="6" width="4.88671875" style="5" customWidth="1"/>
    <col min="7" max="7" width="8.88671875" style="3" customWidth="1"/>
    <col min="8" max="8" width="10.5546875" style="5" customWidth="1"/>
    <col min="9" max="9" width="3.6640625" style="5" customWidth="1"/>
    <col min="10" max="10" width="8.88671875" style="3" customWidth="1"/>
    <col min="11" max="11" width="9.33203125" style="5" customWidth="1"/>
    <col min="12" max="12" width="3.6640625" style="5" customWidth="1"/>
    <col min="13" max="13" width="8.88671875" style="3" customWidth="1"/>
    <col min="14" max="14" width="8.88671875" style="5" customWidth="1"/>
    <col min="15" max="15" width="3.6640625" style="5" customWidth="1"/>
    <col min="16" max="16" width="8.88671875" style="3" customWidth="1"/>
    <col min="17" max="17" width="9.6640625" style="5" customWidth="1"/>
    <col min="18" max="18" width="3.6640625" style="5" customWidth="1"/>
    <col min="19" max="19" width="8.88671875" style="3" customWidth="1"/>
    <col min="22" max="22" width="7.44140625" customWidth="1"/>
    <col min="23" max="23" width="38" customWidth="1"/>
  </cols>
  <sheetData>
    <row r="1" spans="1:23" s="15" customFormat="1" ht="19.95" customHeight="1" thickBot="1" x14ac:dyDescent="0.3">
      <c r="A1" s="16" t="s">
        <v>0</v>
      </c>
      <c r="B1" s="313" t="s">
        <v>1</v>
      </c>
      <c r="C1" s="18" t="s">
        <v>4</v>
      </c>
      <c r="D1" s="19"/>
      <c r="E1" s="20" t="s">
        <v>6</v>
      </c>
      <c r="F1" s="20"/>
      <c r="G1" s="21"/>
      <c r="H1" s="22" t="s">
        <v>7</v>
      </c>
      <c r="I1" s="20"/>
      <c r="J1" s="23"/>
      <c r="K1" s="20" t="s">
        <v>9</v>
      </c>
      <c r="L1" s="20"/>
      <c r="M1" s="24"/>
      <c r="N1" s="22" t="s">
        <v>11</v>
      </c>
      <c r="O1" s="20"/>
      <c r="P1" s="23"/>
      <c r="Q1" s="20" t="s">
        <v>13</v>
      </c>
      <c r="R1" s="20"/>
      <c r="S1" s="23"/>
    </row>
    <row r="2" spans="1:23" s="15" customFormat="1" ht="19.95" customHeight="1" thickBot="1" x14ac:dyDescent="0.3">
      <c r="A2" s="25" t="s">
        <v>2</v>
      </c>
      <c r="B2" s="314" t="s">
        <v>3</v>
      </c>
      <c r="C2" s="27" t="s">
        <v>5</v>
      </c>
      <c r="D2" s="28"/>
      <c r="E2" s="29"/>
      <c r="F2" s="29"/>
      <c r="G2" s="30"/>
      <c r="H2" s="31" t="s">
        <v>8</v>
      </c>
      <c r="I2" s="32"/>
      <c r="J2" s="33"/>
      <c r="K2" s="32" t="s">
        <v>10</v>
      </c>
      <c r="L2" s="32"/>
      <c r="M2" s="34"/>
      <c r="N2" s="31" t="s">
        <v>12</v>
      </c>
      <c r="O2" s="32"/>
      <c r="P2" s="33"/>
      <c r="Q2" s="32" t="s">
        <v>14</v>
      </c>
      <c r="R2" s="32"/>
      <c r="S2" s="33"/>
      <c r="U2" s="52">
        <v>3.0000000000000001E-3</v>
      </c>
      <c r="V2" s="15">
        <v>10.3</v>
      </c>
      <c r="W2" s="15" t="s">
        <v>78</v>
      </c>
    </row>
    <row r="3" spans="1:23" s="15" customFormat="1" ht="19.95" customHeight="1" thickTop="1" thickBot="1" x14ac:dyDescent="0.3">
      <c r="A3" s="25"/>
      <c r="B3" s="314"/>
      <c r="C3" s="25"/>
      <c r="D3" s="35"/>
      <c r="E3" s="36" t="s">
        <v>15</v>
      </c>
      <c r="F3" s="36"/>
      <c r="G3" s="37" t="s">
        <v>17</v>
      </c>
      <c r="H3" s="38" t="s">
        <v>15</v>
      </c>
      <c r="I3" s="36"/>
      <c r="J3" s="39" t="s">
        <v>17</v>
      </c>
      <c r="K3" s="36" t="s">
        <v>15</v>
      </c>
      <c r="L3" s="36"/>
      <c r="M3" s="37" t="s">
        <v>17</v>
      </c>
      <c r="N3" s="38" t="s">
        <v>15</v>
      </c>
      <c r="O3" s="36"/>
      <c r="P3" s="39" t="s">
        <v>17</v>
      </c>
      <c r="Q3" s="36" t="s">
        <v>15</v>
      </c>
      <c r="R3" s="36"/>
      <c r="S3" s="39" t="s">
        <v>17</v>
      </c>
      <c r="V3" s="322"/>
    </row>
    <row r="4" spans="1:23" s="15" customFormat="1" ht="19.95" customHeight="1" thickBot="1" x14ac:dyDescent="0.3">
      <c r="A4" s="73"/>
      <c r="B4" s="315"/>
      <c r="C4" s="40"/>
      <c r="D4" s="42"/>
      <c r="E4" s="43" t="s">
        <v>16</v>
      </c>
      <c r="F4" s="43"/>
      <c r="G4" s="44" t="s">
        <v>16</v>
      </c>
      <c r="H4" s="45" t="s">
        <v>16</v>
      </c>
      <c r="I4" s="43"/>
      <c r="J4" s="46" t="s">
        <v>16</v>
      </c>
      <c r="K4" s="43" t="s">
        <v>16</v>
      </c>
      <c r="L4" s="43"/>
      <c r="M4" s="44" t="s">
        <v>16</v>
      </c>
      <c r="N4" s="45" t="s">
        <v>16</v>
      </c>
      <c r="O4" s="43"/>
      <c r="P4" s="46" t="s">
        <v>16</v>
      </c>
      <c r="Q4" s="43" t="s">
        <v>16</v>
      </c>
      <c r="R4" s="43"/>
      <c r="S4" s="46" t="s">
        <v>16</v>
      </c>
    </row>
    <row r="6" spans="1:23" ht="16.2" customHeight="1" x14ac:dyDescent="0.3">
      <c r="A6" s="7" t="s">
        <v>18</v>
      </c>
    </row>
    <row r="7" spans="1:23" ht="15.6" customHeight="1" thickBot="1" x14ac:dyDescent="0.3"/>
    <row r="8" spans="1:23" s="15" customFormat="1" ht="18" customHeight="1" thickBot="1" x14ac:dyDescent="0.3">
      <c r="A8" s="47">
        <v>564</v>
      </c>
      <c r="B8" s="48">
        <v>58</v>
      </c>
      <c r="C8" s="47">
        <v>1</v>
      </c>
      <c r="D8" s="341" t="s">
        <v>20</v>
      </c>
      <c r="E8" s="52">
        <f>-0.2%+U2</f>
        <v>1E-3</v>
      </c>
      <c r="F8" s="50"/>
      <c r="G8" s="53">
        <f>(1+E8/365)^365-1</f>
        <v>1.000498795447502E-3</v>
      </c>
      <c r="H8" s="52">
        <f>-0.2%+U2</f>
        <v>1E-3</v>
      </c>
      <c r="I8" s="50"/>
      <c r="J8" s="53">
        <f>(1+H8/365)^365-1</f>
        <v>1.000498795447502E-3</v>
      </c>
      <c r="K8" s="52">
        <f>-0.1%+U2</f>
        <v>2E-3</v>
      </c>
      <c r="L8" s="50"/>
      <c r="M8" s="53">
        <f>(1+K8/365)^365-1</f>
        <v>2.0019958435839591E-3</v>
      </c>
      <c r="N8" s="52">
        <f>0.4%+U2</f>
        <v>7.0000000000000001E-3</v>
      </c>
      <c r="O8" s="50"/>
      <c r="P8" s="53">
        <f>(1+N8/365)^365-1</f>
        <v>7.0244896729649842E-3</v>
      </c>
      <c r="Q8" s="52">
        <f>0.4%+U2</f>
        <v>7.0000000000000001E-3</v>
      </c>
      <c r="R8" s="50"/>
      <c r="S8" s="53">
        <f>(1+Q8/365)^365-1</f>
        <v>7.0244896729649842E-3</v>
      </c>
    </row>
    <row r="10" spans="1:23" ht="16.2" customHeight="1" x14ac:dyDescent="0.3">
      <c r="A10" s="7" t="s">
        <v>19</v>
      </c>
      <c r="G10" s="4"/>
    </row>
    <row r="11" spans="1:23" ht="16.2" customHeight="1" thickBot="1" x14ac:dyDescent="0.3">
      <c r="G11" s="2"/>
    </row>
    <row r="12" spans="1:23" s="15" customFormat="1" ht="21" customHeight="1" x14ac:dyDescent="0.25">
      <c r="A12" s="54">
        <v>377</v>
      </c>
      <c r="B12" s="326">
        <v>164</v>
      </c>
      <c r="C12" s="56" t="s">
        <v>22</v>
      </c>
      <c r="D12" s="57" t="s">
        <v>20</v>
      </c>
      <c r="E12" s="60">
        <f>-0.1%+U2</f>
        <v>2E-3</v>
      </c>
      <c r="F12" s="292"/>
      <c r="G12" s="323">
        <f>(1+E12/365)^365-1</f>
        <v>2.0019958435839591E-3</v>
      </c>
      <c r="H12" s="60">
        <f>0.1%+U2</f>
        <v>4.0000000000000001E-3</v>
      </c>
      <c r="I12" s="58"/>
      <c r="J12" s="61">
        <f>(1+H12/365)^365-1</f>
        <v>4.007988671795415E-3</v>
      </c>
      <c r="K12" s="60">
        <f>0.7%+U2</f>
        <v>9.9999999999999985E-3</v>
      </c>
      <c r="L12" s="58"/>
      <c r="M12" s="61">
        <f>(1+K12/365)^365-1</f>
        <v>1.0050028723672E-2</v>
      </c>
      <c r="N12" s="60">
        <f>1.3%+U2</f>
        <v>1.6E-2</v>
      </c>
      <c r="O12" s="58"/>
      <c r="P12" s="61">
        <f>(1+N12/365)^365-1</f>
        <v>1.612832907554318E-2</v>
      </c>
      <c r="Q12" s="60">
        <f>1.3%+U2</f>
        <v>1.6E-2</v>
      </c>
      <c r="R12" s="58"/>
      <c r="S12" s="61">
        <f>(1+Q12/365)^365-1</f>
        <v>1.612832907554318E-2</v>
      </c>
    </row>
    <row r="13" spans="1:23" s="15" customFormat="1" ht="21" customHeight="1" x14ac:dyDescent="0.25">
      <c r="A13" s="62">
        <v>328</v>
      </c>
      <c r="B13" s="327">
        <v>351</v>
      </c>
      <c r="C13" s="64" t="s">
        <v>23</v>
      </c>
      <c r="D13" s="65" t="s">
        <v>20</v>
      </c>
      <c r="E13" s="68">
        <f>-0.1%+U2</f>
        <v>2E-3</v>
      </c>
      <c r="F13" s="289"/>
      <c r="G13" s="91">
        <f>(1+E13/24)^24-1</f>
        <v>2.0019178384769187E-3</v>
      </c>
      <c r="H13" s="68">
        <f>0.1%+U2</f>
        <v>4.0000000000000001E-3</v>
      </c>
      <c r="I13" s="66"/>
      <c r="J13" s="69">
        <f>(1+H13/24)^24-1</f>
        <v>4.0076760452421034E-3</v>
      </c>
      <c r="K13" s="68">
        <f>0.7%+U2</f>
        <v>9.9999999999999985E-3</v>
      </c>
      <c r="L13" s="66"/>
      <c r="M13" s="69">
        <f>(1+K13/24)^24-1</f>
        <v>1.004806339951525E-2</v>
      </c>
      <c r="N13" s="68">
        <f>1.3%+U2</f>
        <v>1.6E-2</v>
      </c>
      <c r="O13" s="66"/>
      <c r="P13" s="69">
        <f>(1+N13/24)^24-1</f>
        <v>1.6123268474939945E-2</v>
      </c>
      <c r="Q13" s="68">
        <f>1.3%+U2</f>
        <v>1.6E-2</v>
      </c>
      <c r="R13" s="66"/>
      <c r="S13" s="69">
        <f>(1+Q13/24)^24-1</f>
        <v>1.6123268474939945E-2</v>
      </c>
    </row>
    <row r="14" spans="1:23" s="15" customFormat="1" ht="21" customHeight="1" x14ac:dyDescent="0.25">
      <c r="A14" s="62">
        <v>154</v>
      </c>
      <c r="B14" s="327">
        <v>375</v>
      </c>
      <c r="C14" s="64" t="s">
        <v>24</v>
      </c>
      <c r="D14" s="65" t="s">
        <v>20</v>
      </c>
      <c r="E14" s="68">
        <f>0%+U2</f>
        <v>3.0000000000000001E-3</v>
      </c>
      <c r="F14" s="289"/>
      <c r="G14" s="91">
        <f>(1+E14/12)^12-1</f>
        <v>3.0041284394355383E-3</v>
      </c>
      <c r="H14" s="68">
        <f>0.2%+U2</f>
        <v>5.0000000000000001E-3</v>
      </c>
      <c r="I14" s="66"/>
      <c r="J14" s="69">
        <f>(1+H14/12)^12-1</f>
        <v>5.0114742626152786E-3</v>
      </c>
      <c r="K14" s="68">
        <f>0.8%+U2</f>
        <v>1.0999999999999999E-2</v>
      </c>
      <c r="L14" s="66"/>
      <c r="M14" s="69">
        <f>(1+K14/12)^12-1</f>
        <v>1.1055628139368112E-2</v>
      </c>
      <c r="N14" s="68">
        <f>1.3%+U2</f>
        <v>1.6E-2</v>
      </c>
      <c r="O14" s="66"/>
      <c r="P14" s="69">
        <f>(1+N14/12)^12-1</f>
        <v>1.6117856382603435E-2</v>
      </c>
      <c r="Q14" s="68">
        <f>1.3%+U2</f>
        <v>1.6E-2</v>
      </c>
      <c r="R14" s="66"/>
      <c r="S14" s="69">
        <f>(1+Q14/12)^12-1</f>
        <v>1.6117856382603435E-2</v>
      </c>
    </row>
    <row r="15" spans="1:23" s="15" customFormat="1" ht="21" customHeight="1" x14ac:dyDescent="0.25">
      <c r="A15" s="62">
        <v>446</v>
      </c>
      <c r="B15" s="327">
        <v>456</v>
      </c>
      <c r="C15" s="276" t="s">
        <v>25</v>
      </c>
      <c r="D15" s="277" t="s">
        <v>21</v>
      </c>
      <c r="E15" s="68">
        <f>0.1%+U2</f>
        <v>4.0000000000000001E-3</v>
      </c>
      <c r="F15" s="289"/>
      <c r="G15" s="91">
        <f>(1+E15/4)^4-1</f>
        <v>4.0060040009994857E-3</v>
      </c>
      <c r="H15" s="68">
        <f>0.2%+U2</f>
        <v>5.0000000000000001E-3</v>
      </c>
      <c r="I15" s="290"/>
      <c r="J15" s="91">
        <f>(1+H15/4)^4-1</f>
        <v>5.0093828149413433E-3</v>
      </c>
      <c r="K15" s="68">
        <f>0.9%+U2</f>
        <v>1.2E-2</v>
      </c>
      <c r="L15" s="290"/>
      <c r="M15" s="91">
        <f>(1+K15/4)^4-1</f>
        <v>1.2054108080999493E-2</v>
      </c>
      <c r="N15" s="68">
        <f>1%+U2</f>
        <v>1.3000000000000001E-2</v>
      </c>
      <c r="O15" s="290"/>
      <c r="P15" s="91">
        <f>(1+N15/4)^4-1</f>
        <v>1.3063512424066337E-2</v>
      </c>
      <c r="Q15" s="291">
        <f>1.1%+U2</f>
        <v>1.4000000000000002E-2</v>
      </c>
      <c r="R15" s="290"/>
      <c r="S15" s="91">
        <f>(1+Q15/4)^4-1</f>
        <v>1.407367165006268E-2</v>
      </c>
    </row>
    <row r="16" spans="1:23" s="15" customFormat="1" ht="21" customHeight="1" x14ac:dyDescent="0.25">
      <c r="A16" s="62">
        <v>446</v>
      </c>
      <c r="B16" s="327">
        <v>456</v>
      </c>
      <c r="C16" s="64" t="s">
        <v>26</v>
      </c>
      <c r="D16" s="65" t="s">
        <v>21</v>
      </c>
      <c r="E16" s="68">
        <f>0.2%+U2</f>
        <v>5.0000000000000001E-3</v>
      </c>
      <c r="F16" s="289"/>
      <c r="G16" s="91">
        <f>(1+E16/2)^2-1</f>
        <v>5.0062499999998789E-3</v>
      </c>
      <c r="H16" s="68">
        <f>0.3%+U2</f>
        <v>6.0000000000000001E-3</v>
      </c>
      <c r="I16" s="66"/>
      <c r="J16" s="69">
        <f>(1+H16/2)^2-1</f>
        <v>6.008999999999709E-3</v>
      </c>
      <c r="K16" s="68">
        <f>1%+U2</f>
        <v>1.3000000000000001E-2</v>
      </c>
      <c r="L16" s="66"/>
      <c r="M16" s="69">
        <f>(1+K16/2)^2-1</f>
        <v>1.3042249999999811E-2</v>
      </c>
      <c r="N16" s="291">
        <f>1.1%+U2</f>
        <v>1.4000000000000002E-2</v>
      </c>
      <c r="O16" s="66"/>
      <c r="P16" s="69">
        <f>(1+N16/2)^2-1</f>
        <v>1.4048999999999756E-2</v>
      </c>
      <c r="Q16" s="291">
        <f>1.2%+U2</f>
        <v>1.4999999999999999E-2</v>
      </c>
      <c r="R16" s="66"/>
      <c r="S16" s="69">
        <f>(1+Q16/2)^2-1</f>
        <v>1.5056250000000215E-2</v>
      </c>
    </row>
    <row r="17" spans="1:19" s="15" customFormat="1" ht="21" customHeight="1" x14ac:dyDescent="0.25">
      <c r="A17" s="62">
        <v>446</v>
      </c>
      <c r="B17" s="327">
        <v>456</v>
      </c>
      <c r="C17" s="64" t="s">
        <v>27</v>
      </c>
      <c r="D17" s="65" t="s">
        <v>21</v>
      </c>
      <c r="E17" s="68">
        <f>0.9%+U2</f>
        <v>1.2E-2</v>
      </c>
      <c r="F17" s="289"/>
      <c r="G17" s="91">
        <f>E17</f>
        <v>1.2E-2</v>
      </c>
      <c r="H17" s="68">
        <f>1.1%+U2</f>
        <v>1.4000000000000002E-2</v>
      </c>
      <c r="I17" s="66"/>
      <c r="J17" s="69">
        <f>H17</f>
        <v>1.4000000000000002E-2</v>
      </c>
      <c r="K17" s="68">
        <f>1.2%+U2</f>
        <v>1.4999999999999999E-2</v>
      </c>
      <c r="L17" s="66"/>
      <c r="M17" s="69">
        <f>K17</f>
        <v>1.4999999999999999E-2</v>
      </c>
      <c r="N17" s="68">
        <f>1.6%+U2</f>
        <v>1.9E-2</v>
      </c>
      <c r="O17" s="66"/>
      <c r="P17" s="69">
        <f>N17</f>
        <v>1.9E-2</v>
      </c>
      <c r="Q17" s="68">
        <f>1.6%+U2</f>
        <v>1.9E-2</v>
      </c>
      <c r="R17" s="66"/>
      <c r="S17" s="69">
        <f>Q17</f>
        <v>1.9E-2</v>
      </c>
    </row>
    <row r="18" spans="1:19" s="15" customFormat="1" ht="21" customHeight="1" x14ac:dyDescent="0.25">
      <c r="A18" s="62">
        <v>446</v>
      </c>
      <c r="B18" s="327">
        <v>456</v>
      </c>
      <c r="C18" s="64" t="s">
        <v>34</v>
      </c>
      <c r="D18" s="65" t="s">
        <v>21</v>
      </c>
      <c r="E18" s="68">
        <v>3.3000000000000002E-2</v>
      </c>
      <c r="F18" s="289"/>
      <c r="G18" s="91">
        <f>+E18</f>
        <v>3.3000000000000002E-2</v>
      </c>
      <c r="H18" s="68">
        <v>3.3000000000000002E-2</v>
      </c>
      <c r="I18" s="66"/>
      <c r="J18" s="69">
        <f>+H18</f>
        <v>3.3000000000000002E-2</v>
      </c>
      <c r="K18" s="68">
        <v>4.2999999999999997E-2</v>
      </c>
      <c r="L18" s="66"/>
      <c r="M18" s="69">
        <f>+K18</f>
        <v>4.2999999999999997E-2</v>
      </c>
      <c r="N18" s="68">
        <v>4.2999999999999997E-2</v>
      </c>
      <c r="O18" s="66"/>
      <c r="P18" s="69">
        <f>+N18</f>
        <v>4.2999999999999997E-2</v>
      </c>
      <c r="Q18" s="68">
        <v>4.2999999999999997E-2</v>
      </c>
      <c r="R18" s="66"/>
      <c r="S18" s="69">
        <f>+Q18</f>
        <v>4.2999999999999997E-2</v>
      </c>
    </row>
    <row r="19" spans="1:19" s="15" customFormat="1" ht="21" customHeight="1" thickBot="1" x14ac:dyDescent="0.3">
      <c r="A19" s="40">
        <v>446</v>
      </c>
      <c r="B19" s="315">
        <v>456</v>
      </c>
      <c r="C19" s="70" t="s">
        <v>81</v>
      </c>
      <c r="D19" s="71" t="s">
        <v>21</v>
      </c>
      <c r="E19" s="73">
        <v>3.7499999999999999E-2</v>
      </c>
      <c r="F19" s="325"/>
      <c r="G19" s="100">
        <f>+E19</f>
        <v>3.7499999999999999E-2</v>
      </c>
      <c r="H19" s="73">
        <v>3.7499999999999999E-2</v>
      </c>
      <c r="I19" s="72"/>
      <c r="J19" s="74">
        <f>H19</f>
        <v>3.7499999999999999E-2</v>
      </c>
      <c r="K19" s="73">
        <v>4.7500000000000001E-2</v>
      </c>
      <c r="L19" s="72"/>
      <c r="M19" s="74">
        <f>K19</f>
        <v>4.7500000000000001E-2</v>
      </c>
      <c r="N19" s="73">
        <v>4.7500000000000001E-2</v>
      </c>
      <c r="O19" s="72"/>
      <c r="P19" s="74">
        <f>N19</f>
        <v>4.7500000000000001E-2</v>
      </c>
      <c r="Q19" s="73">
        <v>4.7500000000000001E-2</v>
      </c>
      <c r="R19" s="72"/>
      <c r="S19" s="74">
        <f>Q19</f>
        <v>4.7500000000000001E-2</v>
      </c>
    </row>
    <row r="21" spans="1:19" ht="16.2" customHeight="1" x14ac:dyDescent="0.3">
      <c r="A21" s="7" t="s">
        <v>33</v>
      </c>
    </row>
    <row r="22" spans="1:19" ht="16.2" customHeight="1" thickBot="1" x14ac:dyDescent="0.3"/>
    <row r="23" spans="1:19" s="15" customFormat="1" ht="21" customHeight="1" thickBot="1" x14ac:dyDescent="0.35">
      <c r="A23" s="330">
        <v>117</v>
      </c>
      <c r="B23" s="337">
        <v>127</v>
      </c>
      <c r="C23" s="331" t="s">
        <v>24</v>
      </c>
      <c r="D23" s="332" t="s">
        <v>20</v>
      </c>
      <c r="E23" s="333">
        <v>5.5E-2</v>
      </c>
      <c r="F23" s="334" t="s">
        <v>28</v>
      </c>
      <c r="G23" s="335">
        <f>(1+($D$43-E23)/12)^12-1</f>
        <v>1.0004584606726485E-3</v>
      </c>
      <c r="H23" s="336">
        <v>5.0999999999999997E-2</v>
      </c>
      <c r="I23" s="334" t="s">
        <v>28</v>
      </c>
      <c r="J23" s="335">
        <f>(1+($D$43-H23)/12)^12-1</f>
        <v>5.0114742626152786E-3</v>
      </c>
      <c r="K23" s="336">
        <v>4.2000000000000003E-2</v>
      </c>
      <c r="L23" s="334" t="s">
        <v>28</v>
      </c>
      <c r="M23" s="335">
        <f>(1+($D$43-K23)/12)^12-1</f>
        <v>1.4090183603949091E-2</v>
      </c>
      <c r="N23" s="333">
        <v>0.04</v>
      </c>
      <c r="O23" s="334" t="s">
        <v>28</v>
      </c>
      <c r="P23" s="335">
        <f>(1+($D$43-N23)/12)^12-1</f>
        <v>1.6117856382603435E-2</v>
      </c>
      <c r="Q23" s="336">
        <v>0.04</v>
      </c>
      <c r="R23" s="334" t="s">
        <v>28</v>
      </c>
      <c r="S23" s="335">
        <f>(1+($D$43-Q23)/12)^12-1</f>
        <v>1.6117856382603435E-2</v>
      </c>
    </row>
    <row r="24" spans="1:19" s="15" customFormat="1" ht="21" customHeight="1" x14ac:dyDescent="0.25">
      <c r="A24" s="62">
        <v>117</v>
      </c>
      <c r="B24" s="63">
        <v>127</v>
      </c>
      <c r="C24" s="276" t="s">
        <v>25</v>
      </c>
      <c r="D24" s="277" t="s">
        <v>21</v>
      </c>
      <c r="E24" s="286">
        <v>4.2000000000000003E-2</v>
      </c>
      <c r="F24" s="287" t="s">
        <v>28</v>
      </c>
      <c r="G24" s="280">
        <f>(1+($D$43-E24)/4)^4-1</f>
        <v>1.407367165006268E-2</v>
      </c>
      <c r="H24" s="288">
        <v>3.6999999999999998E-2</v>
      </c>
      <c r="I24" s="287" t="s">
        <v>28</v>
      </c>
      <c r="J24" s="280">
        <f>(1+($D$43-H24)/4)^4-1</f>
        <v>1.9135804196566797E-2</v>
      </c>
      <c r="K24" s="288">
        <v>3.2000000000000001E-2</v>
      </c>
      <c r="L24" s="287" t="s">
        <v>28</v>
      </c>
      <c r="M24" s="280">
        <f>(1+($D$43-K24)/4)^4-1</f>
        <v>2.4216865295999979E-2</v>
      </c>
      <c r="N24" s="286">
        <v>0.03</v>
      </c>
      <c r="O24" s="287" t="s">
        <v>28</v>
      </c>
      <c r="P24" s="280">
        <f>(1+($D$43-N24)/4)^4-1</f>
        <v>2.6254600285062102E-2</v>
      </c>
      <c r="Q24" s="288">
        <v>0.03</v>
      </c>
      <c r="R24" s="287" t="s">
        <v>28</v>
      </c>
      <c r="S24" s="280">
        <f>(1+($D$43-Q24)/4)^4-1</f>
        <v>2.6254600285062102E-2</v>
      </c>
    </row>
    <row r="25" spans="1:19" s="15" customFormat="1" ht="21" customHeight="1" x14ac:dyDescent="0.25">
      <c r="A25" s="62">
        <v>117</v>
      </c>
      <c r="B25" s="63">
        <v>127</v>
      </c>
      <c r="C25" s="64" t="s">
        <v>26</v>
      </c>
      <c r="D25" s="65" t="s">
        <v>21</v>
      </c>
      <c r="E25" s="76">
        <v>3.7499999999999999E-2</v>
      </c>
      <c r="F25" s="77" t="s">
        <v>28</v>
      </c>
      <c r="G25" s="78">
        <f>(1+($D$43-E25)/2)^2-1</f>
        <v>1.8585562499999986E-2</v>
      </c>
      <c r="H25" s="79">
        <v>3.5999999999999997E-2</v>
      </c>
      <c r="I25" s="77" t="s">
        <v>28</v>
      </c>
      <c r="J25" s="78">
        <f>(1+($D$43-H25)/2)^2-1</f>
        <v>2.0100000000000007E-2</v>
      </c>
      <c r="K25" s="79">
        <v>3.2000000000000001E-2</v>
      </c>
      <c r="L25" s="77" t="s">
        <v>28</v>
      </c>
      <c r="M25" s="78">
        <f>(1+($D$43-K25)/2)^2-1</f>
        <v>2.4143999999999943E-2</v>
      </c>
      <c r="N25" s="76">
        <v>0.03</v>
      </c>
      <c r="O25" s="77" t="s">
        <v>28</v>
      </c>
      <c r="P25" s="78">
        <f>(1+($D$43-N25)/2)^2-1</f>
        <v>2.6168999999999887E-2</v>
      </c>
      <c r="Q25" s="79">
        <v>0.03</v>
      </c>
      <c r="R25" s="77" t="s">
        <v>28</v>
      </c>
      <c r="S25" s="78">
        <f>(1+($D$43-Q25)/2)^2-1</f>
        <v>2.6168999999999887E-2</v>
      </c>
    </row>
    <row r="26" spans="1:19" s="15" customFormat="1" ht="21" customHeight="1" thickBot="1" x14ac:dyDescent="0.3">
      <c r="A26" s="40">
        <v>117</v>
      </c>
      <c r="B26" s="41">
        <v>127</v>
      </c>
      <c r="C26" s="70" t="s">
        <v>36</v>
      </c>
      <c r="D26" s="71" t="s">
        <v>21</v>
      </c>
      <c r="E26" s="80">
        <v>2.5000000000000001E-2</v>
      </c>
      <c r="F26" s="81" t="s">
        <v>28</v>
      </c>
      <c r="G26" s="82">
        <f>(1+($D$43-E26)/1)^1-1</f>
        <v>3.0999999999999917E-2</v>
      </c>
      <c r="H26" s="83">
        <v>2.2499999999999999E-2</v>
      </c>
      <c r="I26" s="81" t="s">
        <v>28</v>
      </c>
      <c r="J26" s="82">
        <f>(1+($D$43-H26)/1)^1-1</f>
        <v>3.3500000000000085E-2</v>
      </c>
      <c r="K26" s="83">
        <v>2.2499999999999999E-2</v>
      </c>
      <c r="L26" s="81" t="s">
        <v>28</v>
      </c>
      <c r="M26" s="82">
        <f>(1+($D$43-K26)/1)^1-1</f>
        <v>3.3500000000000085E-2</v>
      </c>
      <c r="N26" s="80">
        <v>0.02</v>
      </c>
      <c r="O26" s="81" t="s">
        <v>28</v>
      </c>
      <c r="P26" s="82">
        <f>(1+($D$43-N26)/1)^1-1</f>
        <v>3.6000000000000032E-2</v>
      </c>
      <c r="Q26" s="83">
        <v>0.02</v>
      </c>
      <c r="R26" s="81" t="s">
        <v>28</v>
      </c>
      <c r="S26" s="82">
        <f>(1+($D$43-Q26)/1)^1-1</f>
        <v>3.6000000000000032E-2</v>
      </c>
    </row>
    <row r="28" spans="1:19" ht="16.2" customHeight="1" x14ac:dyDescent="0.3">
      <c r="A28" s="7" t="s">
        <v>29</v>
      </c>
    </row>
    <row r="29" spans="1:19" ht="16.2" customHeight="1" thickBot="1" x14ac:dyDescent="0.3"/>
    <row r="30" spans="1:19" s="15" customFormat="1" ht="19.95" customHeight="1" x14ac:dyDescent="0.25">
      <c r="A30" s="84"/>
      <c r="B30" s="85"/>
      <c r="C30" s="84"/>
      <c r="D30" s="102"/>
      <c r="E30" s="86">
        <f>0.2%+U2</f>
        <v>5.0000000000000001E-3</v>
      </c>
      <c r="F30" s="87"/>
      <c r="G30" s="88">
        <f>(1+(E30)/12)^12-1</f>
        <v>5.0114742626152786E-3</v>
      </c>
      <c r="H30" s="86">
        <f>0.2%+U2</f>
        <v>5.0000000000000001E-3</v>
      </c>
      <c r="I30" s="87"/>
      <c r="J30" s="88">
        <f>(1+(H30)/12)^12-1</f>
        <v>5.0114742626152786E-3</v>
      </c>
      <c r="K30" s="86">
        <f>0.2%+U2</f>
        <v>5.0000000000000001E-3</v>
      </c>
      <c r="L30" s="87"/>
      <c r="M30" s="88">
        <f>(1+(K30)/12)^12-1</f>
        <v>5.0114742626152786E-3</v>
      </c>
      <c r="N30" s="86">
        <f>0.2%+U2</f>
        <v>5.0000000000000001E-3</v>
      </c>
      <c r="O30" s="87"/>
      <c r="P30" s="88">
        <f>(1+(N30)/12)^12-1</f>
        <v>5.0114742626152786E-3</v>
      </c>
      <c r="Q30" s="86">
        <f>0.2%+U2</f>
        <v>5.0000000000000001E-3</v>
      </c>
      <c r="R30" s="87"/>
      <c r="S30" s="88">
        <f>(1+(Q30)/12)^12-1</f>
        <v>5.0114742626152786E-3</v>
      </c>
    </row>
    <row r="31" spans="1:19" s="15" customFormat="1" ht="19.95" customHeight="1" thickBot="1" x14ac:dyDescent="0.3">
      <c r="A31" s="62">
        <v>166</v>
      </c>
      <c r="B31" s="63">
        <v>176</v>
      </c>
      <c r="C31" s="64" t="s">
        <v>24</v>
      </c>
      <c r="D31" s="103" t="s">
        <v>20</v>
      </c>
      <c r="E31" s="89">
        <v>0.05</v>
      </c>
      <c r="F31" s="90" t="s">
        <v>28</v>
      </c>
      <c r="G31" s="91">
        <f>(1+($D$43-E31)/12)^12-1</f>
        <v>6.0165275309620458E-3</v>
      </c>
      <c r="H31" s="89">
        <v>4.4999999999999998E-2</v>
      </c>
      <c r="I31" s="90" t="s">
        <v>28</v>
      </c>
      <c r="J31" s="91">
        <f>(1+($D$43-H31)/12)^12-1</f>
        <v>1.1055628139368112E-2</v>
      </c>
      <c r="K31" s="89">
        <v>0.04</v>
      </c>
      <c r="L31" s="90" t="s">
        <v>28</v>
      </c>
      <c r="M31" s="91">
        <f>(1+($D$43-K31)/12)^12-1</f>
        <v>1.6117856382603435E-2</v>
      </c>
      <c r="N31" s="89">
        <v>3.7499999999999999E-2</v>
      </c>
      <c r="O31" s="90" t="s">
        <v>28</v>
      </c>
      <c r="P31" s="91">
        <f>(1+($D$43-N31)/12)^12-1</f>
        <v>1.8657673496101257E-2</v>
      </c>
      <c r="Q31" s="89">
        <v>3.7499999999999999E-2</v>
      </c>
      <c r="R31" s="90" t="s">
        <v>28</v>
      </c>
      <c r="S31" s="91">
        <f>(1+($D$43-Q31)/12)^12-1</f>
        <v>1.8657673496101257E-2</v>
      </c>
    </row>
    <row r="32" spans="1:19" s="15" customFormat="1" ht="19.95" customHeight="1" x14ac:dyDescent="0.25">
      <c r="A32" s="25"/>
      <c r="B32" s="26"/>
      <c r="C32" s="281"/>
      <c r="D32" s="282"/>
      <c r="E32" s="86">
        <f>0.5%+U2</f>
        <v>8.0000000000000002E-3</v>
      </c>
      <c r="F32" s="283"/>
      <c r="G32" s="284">
        <f>(1+(E32)/4)^4-1</f>
        <v>8.0240320159998824E-3</v>
      </c>
      <c r="H32" s="86">
        <f>0.5%+U2</f>
        <v>8.0000000000000002E-3</v>
      </c>
      <c r="I32" s="283"/>
      <c r="J32" s="284">
        <f>(1+(H32)/4)^4-1</f>
        <v>8.0240320159998824E-3</v>
      </c>
      <c r="K32" s="86">
        <f>0.5%+U2</f>
        <v>8.0000000000000002E-3</v>
      </c>
      <c r="L32" s="283"/>
      <c r="M32" s="284">
        <f>(1+(K32)/4)^4-1</f>
        <v>8.0240320159998824E-3</v>
      </c>
      <c r="N32" s="86">
        <f>0.5%+U2</f>
        <v>8.0000000000000002E-3</v>
      </c>
      <c r="O32" s="283"/>
      <c r="P32" s="284">
        <f>(1+(N32)/4)^4-1</f>
        <v>8.0240320159998824E-3</v>
      </c>
      <c r="Q32" s="86">
        <f>0.5%+U2</f>
        <v>8.0000000000000002E-3</v>
      </c>
      <c r="R32" s="283"/>
      <c r="S32" s="284">
        <f>(1+(Q32)/4)^4-1</f>
        <v>8.0240320159998824E-3</v>
      </c>
    </row>
    <row r="33" spans="1:19" s="15" customFormat="1" ht="19.95" customHeight="1" thickBot="1" x14ac:dyDescent="0.3">
      <c r="A33" s="62">
        <v>166</v>
      </c>
      <c r="B33" s="63">
        <v>176</v>
      </c>
      <c r="C33" s="276" t="s">
        <v>25</v>
      </c>
      <c r="D33" s="285" t="s">
        <v>21</v>
      </c>
      <c r="E33" s="286">
        <v>4.2000000000000003E-2</v>
      </c>
      <c r="F33" s="287" t="s">
        <v>28</v>
      </c>
      <c r="G33" s="280">
        <f>(1+($D$43-E33)/4)^4-1</f>
        <v>1.407367165006268E-2</v>
      </c>
      <c r="H33" s="286">
        <v>3.6999999999999998E-2</v>
      </c>
      <c r="I33" s="287" t="s">
        <v>28</v>
      </c>
      <c r="J33" s="280">
        <f>(1+($D$43-H33)/4)^4-1</f>
        <v>1.9135804196566797E-2</v>
      </c>
      <c r="K33" s="286">
        <v>3.2000000000000001E-2</v>
      </c>
      <c r="L33" s="287" t="s">
        <v>28</v>
      </c>
      <c r="M33" s="280">
        <f>(1+($D$43-K33)/4)^4-1</f>
        <v>2.4216865295999979E-2</v>
      </c>
      <c r="N33" s="286">
        <v>0.03</v>
      </c>
      <c r="O33" s="287" t="s">
        <v>28</v>
      </c>
      <c r="P33" s="280">
        <f>(1+($D$43-N33)/4)^4-1</f>
        <v>2.6254600285062102E-2</v>
      </c>
      <c r="Q33" s="286">
        <v>0.03</v>
      </c>
      <c r="R33" s="287" t="s">
        <v>28</v>
      </c>
      <c r="S33" s="280">
        <f>(1+($D$43-Q33)/4)^4-1</f>
        <v>2.6254600285062102E-2</v>
      </c>
    </row>
    <row r="34" spans="1:19" s="15" customFormat="1" ht="19.95" customHeight="1" x14ac:dyDescent="0.25">
      <c r="A34" s="25"/>
      <c r="B34" s="26"/>
      <c r="C34" s="104"/>
      <c r="D34" s="35"/>
      <c r="E34" s="86">
        <f>0.5%+U2</f>
        <v>8.0000000000000002E-3</v>
      </c>
      <c r="F34" s="93"/>
      <c r="G34" s="94">
        <f>(1+(E34)/2)^2-1</f>
        <v>8.0160000000000231E-3</v>
      </c>
      <c r="H34" s="86">
        <f>0.5%+U2</f>
        <v>8.0000000000000002E-3</v>
      </c>
      <c r="I34" s="93"/>
      <c r="J34" s="94">
        <f>(1+(H34)/2)^2-1</f>
        <v>8.0160000000000231E-3</v>
      </c>
      <c r="K34" s="86">
        <f>0.5%+U2</f>
        <v>8.0000000000000002E-3</v>
      </c>
      <c r="L34" s="93"/>
      <c r="M34" s="94">
        <f>(1+(K34)/2)^2-1</f>
        <v>8.0160000000000231E-3</v>
      </c>
      <c r="N34" s="86">
        <f>0.5%+U2</f>
        <v>8.0000000000000002E-3</v>
      </c>
      <c r="O34" s="93"/>
      <c r="P34" s="94">
        <f>(1+(N34)/2)^2-1</f>
        <v>8.0160000000000231E-3</v>
      </c>
      <c r="Q34" s="86">
        <f>0.5%+U2</f>
        <v>8.0000000000000002E-3</v>
      </c>
      <c r="R34" s="93"/>
      <c r="S34" s="94">
        <f>(1+(Q34)/2)^2-1</f>
        <v>8.0160000000000231E-3</v>
      </c>
    </row>
    <row r="35" spans="1:19" s="15" customFormat="1" ht="19.95" customHeight="1" thickBot="1" x14ac:dyDescent="0.3">
      <c r="A35" s="25">
        <v>166</v>
      </c>
      <c r="B35" s="26">
        <v>176</v>
      </c>
      <c r="C35" s="104" t="s">
        <v>76</v>
      </c>
      <c r="D35" s="35" t="s">
        <v>21</v>
      </c>
      <c r="E35" s="293">
        <v>0.04</v>
      </c>
      <c r="F35" s="294" t="s">
        <v>28</v>
      </c>
      <c r="G35" s="97">
        <f>(1+($D$43-E35)/2)^2-1</f>
        <v>1.6064000000000078E-2</v>
      </c>
      <c r="H35" s="293">
        <v>3.5999999999999997E-2</v>
      </c>
      <c r="I35" s="294" t="s">
        <v>28</v>
      </c>
      <c r="J35" s="97">
        <f>(1+($D$43-H35)/2)^2-1</f>
        <v>2.0100000000000007E-2</v>
      </c>
      <c r="K35" s="293">
        <v>3.2000000000000001E-2</v>
      </c>
      <c r="L35" s="294" t="s">
        <v>28</v>
      </c>
      <c r="M35" s="97">
        <f>(1+($D$43-K35)/2)^2-1</f>
        <v>2.4143999999999943E-2</v>
      </c>
      <c r="N35" s="293">
        <v>0.03</v>
      </c>
      <c r="O35" s="294" t="s">
        <v>28</v>
      </c>
      <c r="P35" s="97">
        <f>(1+($D$43-N35)/2)^2-1</f>
        <v>2.6168999999999887E-2</v>
      </c>
      <c r="Q35" s="293">
        <v>0.03</v>
      </c>
      <c r="R35" s="294" t="s">
        <v>28</v>
      </c>
      <c r="S35" s="97">
        <f>(1+($D$43-Q35)/2)^2-1</f>
        <v>2.6168999999999887E-2</v>
      </c>
    </row>
    <row r="36" spans="1:19" s="15" customFormat="1" ht="19.95" customHeight="1" x14ac:dyDescent="0.3">
      <c r="A36" s="301"/>
      <c r="B36" s="302"/>
      <c r="C36" s="303" t="s">
        <v>32</v>
      </c>
      <c r="D36" s="304"/>
      <c r="E36" s="295">
        <f>0.2%+U2</f>
        <v>5.0000000000000001E-3</v>
      </c>
      <c r="F36" s="296"/>
      <c r="G36" s="297">
        <f>(1+(E36)/1)^1.002-1</f>
        <v>5.0100250084370579E-3</v>
      </c>
      <c r="H36" s="295">
        <f>0.2%+U2</f>
        <v>5.0000000000000001E-3</v>
      </c>
      <c r="I36" s="296"/>
      <c r="J36" s="297">
        <f>(1+(H36)/1)^1.002-1</f>
        <v>5.0100250084370579E-3</v>
      </c>
      <c r="K36" s="295">
        <f>0.2%+U2</f>
        <v>5.0000000000000001E-3</v>
      </c>
      <c r="L36" s="296"/>
      <c r="M36" s="297">
        <f>(1+(K36)/1)^1.002-1</f>
        <v>5.0100250084370579E-3</v>
      </c>
      <c r="N36" s="295">
        <f>0.2%+U2</f>
        <v>5.0000000000000001E-3</v>
      </c>
      <c r="O36" s="296"/>
      <c r="P36" s="297">
        <f>(1+(N36)/1)^1.002-1</f>
        <v>5.0100250084370579E-3</v>
      </c>
      <c r="Q36" s="295">
        <f>0.2%+U2</f>
        <v>5.0000000000000001E-3</v>
      </c>
      <c r="R36" s="296"/>
      <c r="S36" s="297">
        <f>(1+(Q36)/1)^1.002-1</f>
        <v>5.0100250084370579E-3</v>
      </c>
    </row>
    <row r="37" spans="1:19" s="15" customFormat="1" ht="19.95" customHeight="1" thickBot="1" x14ac:dyDescent="0.35">
      <c r="A37" s="305">
        <v>166</v>
      </c>
      <c r="B37" s="306">
        <v>176</v>
      </c>
      <c r="C37" s="307" t="s">
        <v>31</v>
      </c>
      <c r="D37" s="308" t="s">
        <v>21</v>
      </c>
      <c r="E37" s="298">
        <v>0.03</v>
      </c>
      <c r="F37" s="299" t="s">
        <v>28</v>
      </c>
      <c r="G37" s="300">
        <f>(1+($D$43-E37)/1)^1.019-1</f>
        <v>2.6500489086254797E-2</v>
      </c>
      <c r="H37" s="298">
        <v>2.8000000000000001E-2</v>
      </c>
      <c r="I37" s="299" t="s">
        <v>28</v>
      </c>
      <c r="J37" s="300">
        <f>(1+($D$43-H37)/1)^1.019-1</f>
        <v>2.8539520970246812E-2</v>
      </c>
      <c r="K37" s="298">
        <v>2.5999999999999999E-2</v>
      </c>
      <c r="L37" s="299" t="s">
        <v>28</v>
      </c>
      <c r="M37" s="300">
        <f>(1+($D$43-K37)/1)^1.019-1</f>
        <v>3.0578628228453253E-2</v>
      </c>
      <c r="N37" s="298">
        <v>2.1999999999999999E-2</v>
      </c>
      <c r="O37" s="299" t="s">
        <v>28</v>
      </c>
      <c r="P37" s="300">
        <f>(1+($D$43-N37)/1)^1.019-1</f>
        <v>3.4657068293740378E-2</v>
      </c>
      <c r="Q37" s="298">
        <v>2.1999999999999999E-2</v>
      </c>
      <c r="R37" s="299" t="s">
        <v>28</v>
      </c>
      <c r="S37" s="300">
        <f>(1+($D$43-Q37)/1)^1.019-1</f>
        <v>3.4657068293740378E-2</v>
      </c>
    </row>
    <row r="38" spans="1:19" s="15" customFormat="1" ht="19.95" customHeight="1" x14ac:dyDescent="0.25">
      <c r="A38" s="25"/>
      <c r="B38" s="26"/>
      <c r="C38" s="104"/>
      <c r="D38" s="35"/>
      <c r="E38" s="86">
        <f>0.5%+U2</f>
        <v>8.0000000000000002E-3</v>
      </c>
      <c r="F38" s="96"/>
      <c r="G38" s="97">
        <f>(1+(E38)/1)^1-1</f>
        <v>8.0000000000000071E-3</v>
      </c>
      <c r="H38" s="86">
        <f>0.5%+U2</f>
        <v>8.0000000000000002E-3</v>
      </c>
      <c r="I38" s="96"/>
      <c r="J38" s="97">
        <f>(1+(H38)/1)^1-1</f>
        <v>8.0000000000000071E-3</v>
      </c>
      <c r="K38" s="86">
        <f>0.5%+U2</f>
        <v>8.0000000000000002E-3</v>
      </c>
      <c r="L38" s="96"/>
      <c r="M38" s="97">
        <f>(1+(K38)/1)^1-1</f>
        <v>8.0000000000000071E-3</v>
      </c>
      <c r="N38" s="86">
        <f>0.5%+U2</f>
        <v>8.0000000000000002E-3</v>
      </c>
      <c r="O38" s="96"/>
      <c r="P38" s="97">
        <f>(1+(N38)/1)^1-1</f>
        <v>8.0000000000000071E-3</v>
      </c>
      <c r="Q38" s="86">
        <f>0.5%+U2</f>
        <v>8.0000000000000002E-3</v>
      </c>
      <c r="R38" s="96"/>
      <c r="S38" s="97">
        <f>(1+(Q38)/1)^1-1</f>
        <v>8.0000000000000071E-3</v>
      </c>
    </row>
    <row r="39" spans="1:19" s="15" customFormat="1" ht="19.95" customHeight="1" thickBot="1" x14ac:dyDescent="0.3">
      <c r="A39" s="40">
        <v>166</v>
      </c>
      <c r="B39" s="41">
        <v>176</v>
      </c>
      <c r="C39" s="70" t="s">
        <v>27</v>
      </c>
      <c r="D39" s="42" t="s">
        <v>21</v>
      </c>
      <c r="E39" s="98">
        <v>2.7E-2</v>
      </c>
      <c r="F39" s="99" t="s">
        <v>28</v>
      </c>
      <c r="G39" s="100">
        <f>(1+($D$43-E39)/1)^1-1</f>
        <v>2.8999999999999915E-2</v>
      </c>
      <c r="H39" s="98">
        <v>2.1999999999999999E-2</v>
      </c>
      <c r="I39" s="99" t="s">
        <v>28</v>
      </c>
      <c r="J39" s="100">
        <f>(1+($D$43-H39)/1)^1-1</f>
        <v>3.400000000000003E-2</v>
      </c>
      <c r="K39" s="98">
        <v>0.02</v>
      </c>
      <c r="L39" s="99" t="s">
        <v>28</v>
      </c>
      <c r="M39" s="100">
        <f>(1+($D$43-K39)/1)^1-1</f>
        <v>3.6000000000000032E-2</v>
      </c>
      <c r="N39" s="98">
        <v>0.02</v>
      </c>
      <c r="O39" s="99" t="s">
        <v>28</v>
      </c>
      <c r="P39" s="100">
        <f>(1+($D$43-N39)/1)^1-1</f>
        <v>3.6000000000000032E-2</v>
      </c>
      <c r="Q39" s="98">
        <v>1.9E-2</v>
      </c>
      <c r="R39" s="99" t="s">
        <v>28</v>
      </c>
      <c r="S39" s="100">
        <f>(1+($D$43-Q39)/1)^1-1</f>
        <v>3.6999999999999922E-2</v>
      </c>
    </row>
    <row r="43" spans="1:19" s="15" customFormat="1" ht="16.2" customHeight="1" x14ac:dyDescent="0.25">
      <c r="A43" s="106" t="s">
        <v>35</v>
      </c>
      <c r="B43" s="9"/>
      <c r="C43" s="10"/>
      <c r="D43" s="10">
        <f>5.3%+U2</f>
        <v>5.6000000000000001E-2</v>
      </c>
      <c r="E43" s="105" t="s">
        <v>30</v>
      </c>
      <c r="F43" s="12"/>
      <c r="G43" s="13" t="s">
        <v>84</v>
      </c>
      <c r="H43" s="11"/>
      <c r="I43" s="11"/>
      <c r="J43" s="14"/>
      <c r="K43" s="11"/>
      <c r="L43" s="11"/>
      <c r="M43" s="14"/>
      <c r="N43" s="11"/>
      <c r="O43" s="11"/>
      <c r="P43" s="14"/>
      <c r="Q43" s="11"/>
      <c r="R43" s="11"/>
      <c r="S43" s="14"/>
    </row>
    <row r="45" spans="1:19" ht="16.2" customHeight="1" x14ac:dyDescent="0.4">
      <c r="A45" s="338"/>
      <c r="B45" s="339" t="s">
        <v>82</v>
      </c>
      <c r="C45" s="339"/>
      <c r="D45" s="5"/>
      <c r="E45" s="340">
        <v>1E-3</v>
      </c>
    </row>
  </sheetData>
  <phoneticPr fontId="13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AM35"/>
  <sheetViews>
    <sheetView rightToLeft="1" workbookViewId="0">
      <selection activeCell="H3" sqref="H3"/>
    </sheetView>
  </sheetViews>
  <sheetFormatPr defaultRowHeight="13.2" x14ac:dyDescent="0.25"/>
  <cols>
    <col min="1" max="1" width="23" customWidth="1"/>
    <col min="2" max="2" width="27.33203125" customWidth="1"/>
    <col min="3" max="3" width="9.109375" hidden="1" customWidth="1"/>
    <col min="4" max="4" width="15.88671875" customWidth="1"/>
    <col min="5" max="5" width="11.5546875" customWidth="1"/>
    <col min="7" max="7" width="14.33203125" customWidth="1"/>
    <col min="8" max="8" width="11.88671875" customWidth="1"/>
  </cols>
  <sheetData>
    <row r="3" spans="2:8" ht="22.8" x14ac:dyDescent="0.4">
      <c r="B3" s="380" t="s">
        <v>115</v>
      </c>
      <c r="H3" s="381" t="s">
        <v>117</v>
      </c>
    </row>
    <row r="5" spans="2:8" ht="17.399999999999999" x14ac:dyDescent="0.3">
      <c r="B5" s="328" t="s">
        <v>116</v>
      </c>
      <c r="C5" s="199"/>
      <c r="D5" s="118"/>
      <c r="E5" s="164"/>
      <c r="F5" s="310"/>
      <c r="G5" s="118"/>
      <c r="H5" s="164"/>
    </row>
    <row r="6" spans="2:8" ht="17.399999999999999" x14ac:dyDescent="0.3">
      <c r="B6" s="118" t="s">
        <v>90</v>
      </c>
      <c r="C6" s="199"/>
      <c r="D6" s="118"/>
      <c r="E6" s="164"/>
      <c r="F6" s="199"/>
      <c r="G6" s="118"/>
      <c r="H6" s="164"/>
    </row>
    <row r="7" spans="2:8" ht="18" thickBot="1" x14ac:dyDescent="0.35">
      <c r="B7" s="118"/>
      <c r="C7" s="199"/>
      <c r="D7" s="118"/>
      <c r="E7" s="164"/>
      <c r="F7" s="199"/>
      <c r="G7" s="118"/>
      <c r="H7" s="164"/>
    </row>
    <row r="8" spans="2:8" ht="17.399999999999999" x14ac:dyDescent="0.3">
      <c r="B8" s="227" t="s">
        <v>64</v>
      </c>
      <c r="C8" s="234" t="s">
        <v>102</v>
      </c>
      <c r="D8" s="231"/>
      <c r="E8" s="235"/>
      <c r="F8" s="234" t="s">
        <v>103</v>
      </c>
      <c r="G8" s="231"/>
      <c r="H8" s="235"/>
    </row>
    <row r="9" spans="2:8" ht="18" thickBot="1" x14ac:dyDescent="0.35">
      <c r="B9" s="228"/>
      <c r="C9" s="229" t="s">
        <v>65</v>
      </c>
      <c r="D9" s="213"/>
      <c r="E9" s="236" t="s">
        <v>17</v>
      </c>
      <c r="F9" s="229" t="s">
        <v>65</v>
      </c>
      <c r="G9" s="213"/>
      <c r="H9" s="236" t="s">
        <v>17</v>
      </c>
    </row>
    <row r="10" spans="2:8" ht="18" thickTop="1" x14ac:dyDescent="0.3">
      <c r="B10" s="119" t="s">
        <v>69</v>
      </c>
      <c r="C10" s="316">
        <v>4.0000000000000001E-3</v>
      </c>
      <c r="D10" s="209"/>
      <c r="E10" s="238">
        <f>+C10</f>
        <v>4.0000000000000001E-3</v>
      </c>
      <c r="F10" s="316">
        <v>4.0000000000000001E-3</v>
      </c>
      <c r="G10" s="209"/>
      <c r="H10" s="238">
        <f>+F10</f>
        <v>4.0000000000000001E-3</v>
      </c>
    </row>
    <row r="11" spans="2:8" ht="18" thickBot="1" x14ac:dyDescent="0.35">
      <c r="B11" s="133" t="s">
        <v>57</v>
      </c>
      <c r="C11" s="237">
        <v>2.3E-2</v>
      </c>
      <c r="D11" s="211" t="s">
        <v>56</v>
      </c>
      <c r="E11" s="239">
        <f>+C13-C11+0.0001</f>
        <v>2.1000000000000016E-3</v>
      </c>
      <c r="F11" s="237">
        <v>2.3E-2</v>
      </c>
      <c r="G11" s="211" t="s">
        <v>56</v>
      </c>
      <c r="H11" s="239">
        <f>+C13-F11</f>
        <v>2.0000000000000018E-3</v>
      </c>
    </row>
    <row r="12" spans="2:8" ht="17.399999999999999" x14ac:dyDescent="0.3">
      <c r="B12" s="118"/>
      <c r="C12" s="199"/>
      <c r="D12" s="118"/>
      <c r="E12" s="164"/>
      <c r="F12" s="199"/>
      <c r="G12" s="118"/>
      <c r="H12" s="164"/>
    </row>
    <row r="13" spans="2:8" ht="17.399999999999999" x14ac:dyDescent="0.3">
      <c r="B13" s="164" t="s">
        <v>60</v>
      </c>
      <c r="C13" s="202">
        <v>2.5000000000000001E-2</v>
      </c>
      <c r="D13" s="118"/>
      <c r="E13" s="164"/>
      <c r="F13" s="199"/>
      <c r="G13" s="118"/>
      <c r="H13" s="164"/>
    </row>
    <row r="14" spans="2:8" ht="17.399999999999999" x14ac:dyDescent="0.3">
      <c r="B14" s="118" t="s">
        <v>77</v>
      </c>
      <c r="C14" s="199"/>
      <c r="D14" s="118"/>
      <c r="E14" s="164"/>
      <c r="F14" s="199"/>
      <c r="G14" s="118"/>
      <c r="H14" s="164"/>
    </row>
    <row r="20" spans="2:39" ht="13.8" thickBot="1" x14ac:dyDescent="0.3"/>
    <row r="21" spans="2:39" ht="15" x14ac:dyDescent="0.25">
      <c r="B21" s="104"/>
      <c r="C21" s="26"/>
      <c r="D21" s="104"/>
      <c r="E21" s="35"/>
      <c r="F21" s="86">
        <v>8.0000000000000002E-3</v>
      </c>
      <c r="G21" s="96"/>
      <c r="H21" s="97">
        <f>(1+(F21)/1)^1-1</f>
        <v>8.0000000000000071E-3</v>
      </c>
      <c r="I21" s="86">
        <v>8.0000000000000002E-3</v>
      </c>
      <c r="J21" s="96"/>
      <c r="K21" s="97">
        <f>(1+(I21)/1)^1-1</f>
        <v>8.0000000000000071E-3</v>
      </c>
      <c r="L21" s="86">
        <v>8.0000000000000002E-3</v>
      </c>
      <c r="M21" s="96"/>
      <c r="N21" s="97">
        <f>(1+(L21)/1)^1-1</f>
        <v>8.0000000000000071E-3</v>
      </c>
      <c r="O21" s="86">
        <v>8.0000000000000002E-3</v>
      </c>
      <c r="P21" s="96"/>
      <c r="Q21" s="97">
        <f>(1+(O21)/1)^1-1</f>
        <v>8.0000000000000071E-3</v>
      </c>
      <c r="R21" s="86">
        <v>0.01</v>
      </c>
      <c r="S21" s="96"/>
      <c r="T21" s="97">
        <f>(1+(R21)/1)^1-1</f>
        <v>1.0000000000000009E-2</v>
      </c>
    </row>
    <row r="22" spans="2:39" ht="15.6" thickBot="1" x14ac:dyDescent="0.3">
      <c r="B22" s="70" t="s">
        <v>128</v>
      </c>
      <c r="C22" s="41"/>
      <c r="D22" s="70" t="s">
        <v>129</v>
      </c>
      <c r="E22" s="42" t="s">
        <v>21</v>
      </c>
      <c r="F22" s="98">
        <v>1.9E-2</v>
      </c>
      <c r="G22" s="99" t="s">
        <v>28</v>
      </c>
      <c r="H22" s="100" t="e">
        <f>(1+(#REF!-F22)/1)^1-1</f>
        <v>#REF!</v>
      </c>
      <c r="I22" s="98">
        <v>1.9E-2</v>
      </c>
      <c r="J22" s="99" t="s">
        <v>28</v>
      </c>
      <c r="K22" s="100" t="e">
        <f>(1+(#REF!-I22)/1)^1-1</f>
        <v>#REF!</v>
      </c>
      <c r="L22" s="98">
        <v>1.9E-2</v>
      </c>
      <c r="M22" s="99" t="s">
        <v>28</v>
      </c>
      <c r="N22" s="100" t="e">
        <f>(1+(#REF!-L22)/1)^1-1</f>
        <v>#REF!</v>
      </c>
      <c r="O22" s="98">
        <v>1.9E-2</v>
      </c>
      <c r="P22" s="99" t="s">
        <v>28</v>
      </c>
      <c r="Q22" s="100" t="e">
        <f>(1+(#REF!-O22)/1)^1-1</f>
        <v>#REF!</v>
      </c>
      <c r="R22" s="98">
        <v>1.7000000000000001E-2</v>
      </c>
      <c r="S22" s="99" t="s">
        <v>28</v>
      </c>
      <c r="T22" s="100" t="e">
        <f>(1+(#REF!-R22)/1)^1-1</f>
        <v>#REF!</v>
      </c>
    </row>
    <row r="31" spans="2:39" ht="13.8" thickBot="1" x14ac:dyDescent="0.3"/>
    <row r="32" spans="2:39" x14ac:dyDescent="0.25">
      <c r="B32" s="382" t="s">
        <v>87</v>
      </c>
      <c r="C32" s="383"/>
      <c r="D32" s="384" t="s">
        <v>4</v>
      </c>
      <c r="E32" s="385"/>
      <c r="F32" s="386" t="s">
        <v>6</v>
      </c>
      <c r="G32" s="386"/>
      <c r="H32" s="387"/>
      <c r="I32" s="388" t="s">
        <v>7</v>
      </c>
      <c r="J32" s="386"/>
      <c r="K32" s="389"/>
      <c r="L32" s="386" t="s">
        <v>9</v>
      </c>
      <c r="M32" s="386"/>
      <c r="N32" s="390"/>
      <c r="O32" s="388" t="s">
        <v>11</v>
      </c>
      <c r="P32" s="386"/>
      <c r="Q32" s="389"/>
      <c r="R32" s="386" t="s">
        <v>13</v>
      </c>
      <c r="S32" s="386"/>
      <c r="T32" s="389"/>
      <c r="U32" s="246"/>
      <c r="V32" s="246"/>
      <c r="W32" s="246"/>
      <c r="X32" s="246"/>
      <c r="Y32" s="246"/>
      <c r="Z32" s="246"/>
      <c r="AA32" s="246"/>
      <c r="AB32" s="246"/>
      <c r="AC32" s="246"/>
      <c r="AD32" s="246"/>
      <c r="AE32" s="246"/>
      <c r="AF32" s="246"/>
      <c r="AG32" s="246"/>
      <c r="AH32" s="246"/>
      <c r="AI32" s="246"/>
      <c r="AJ32" s="246"/>
      <c r="AK32" s="246"/>
      <c r="AL32" s="246"/>
      <c r="AM32" s="246"/>
    </row>
    <row r="33" spans="2:39" ht="13.8" thickBot="1" x14ac:dyDescent="0.3">
      <c r="B33" s="391" t="s">
        <v>88</v>
      </c>
      <c r="C33" s="392"/>
      <c r="D33" s="393" t="s">
        <v>5</v>
      </c>
      <c r="E33" s="394"/>
      <c r="F33" s="395"/>
      <c r="G33" s="395"/>
      <c r="H33" s="396"/>
      <c r="I33" s="397" t="s">
        <v>8</v>
      </c>
      <c r="J33" s="398"/>
      <c r="K33" s="399"/>
      <c r="L33" s="398" t="s">
        <v>10</v>
      </c>
      <c r="M33" s="398"/>
      <c r="N33" s="400"/>
      <c r="O33" s="397" t="s">
        <v>12</v>
      </c>
      <c r="P33" s="398"/>
      <c r="Q33" s="399"/>
      <c r="R33" s="398" t="s">
        <v>14</v>
      </c>
      <c r="S33" s="398"/>
      <c r="T33" s="399"/>
      <c r="U33" s="246"/>
      <c r="V33" s="246"/>
      <c r="W33" s="246"/>
      <c r="X33" s="246"/>
      <c r="Y33" s="246"/>
      <c r="Z33" s="246"/>
      <c r="AA33" s="246"/>
      <c r="AB33" s="246"/>
      <c r="AC33" s="246"/>
      <c r="AD33" s="246"/>
      <c r="AE33" s="246"/>
      <c r="AF33" s="246"/>
      <c r="AG33" s="246"/>
      <c r="AH33" s="246"/>
      <c r="AI33" s="246"/>
      <c r="AJ33" s="246"/>
      <c r="AK33" s="246"/>
      <c r="AL33" s="246"/>
      <c r="AM33" s="246"/>
    </row>
    <row r="34" spans="2:39" ht="15.6" thickTop="1" x14ac:dyDescent="0.25">
      <c r="B34" s="25"/>
      <c r="C34" s="314"/>
      <c r="D34" s="25"/>
      <c r="E34" s="35"/>
      <c r="F34" s="36" t="s">
        <v>15</v>
      </c>
      <c r="G34" s="36"/>
      <c r="H34" s="37" t="s">
        <v>17</v>
      </c>
      <c r="I34" s="38" t="s">
        <v>15</v>
      </c>
      <c r="J34" s="36"/>
      <c r="K34" s="39" t="s">
        <v>17</v>
      </c>
      <c r="L34" s="36" t="s">
        <v>15</v>
      </c>
      <c r="M34" s="36"/>
      <c r="N34" s="37" t="s">
        <v>17</v>
      </c>
      <c r="O34" s="38" t="s">
        <v>15</v>
      </c>
      <c r="P34" s="36"/>
      <c r="Q34" s="39" t="s">
        <v>17</v>
      </c>
      <c r="R34" s="36" t="s">
        <v>15</v>
      </c>
      <c r="S34" s="36"/>
      <c r="T34" s="39" t="s">
        <v>17</v>
      </c>
    </row>
    <row r="35" spans="2:39" ht="15.6" thickBot="1" x14ac:dyDescent="0.3">
      <c r="B35" s="73"/>
      <c r="C35" s="315"/>
      <c r="D35" s="40"/>
      <c r="E35" s="42"/>
      <c r="F35" s="43" t="s">
        <v>16</v>
      </c>
      <c r="G35" s="43"/>
      <c r="H35" s="44" t="s">
        <v>16</v>
      </c>
      <c r="I35" s="45" t="s">
        <v>16</v>
      </c>
      <c r="J35" s="43"/>
      <c r="K35" s="46" t="s">
        <v>16</v>
      </c>
      <c r="L35" s="43" t="s">
        <v>16</v>
      </c>
      <c r="M35" s="43"/>
      <c r="N35" s="44" t="s">
        <v>16</v>
      </c>
      <c r="O35" s="45" t="s">
        <v>16</v>
      </c>
      <c r="P35" s="43"/>
      <c r="Q35" s="46" t="s">
        <v>16</v>
      </c>
      <c r="R35" s="43" t="s">
        <v>16</v>
      </c>
      <c r="S35" s="43"/>
      <c r="T35" s="46" t="s">
        <v>16</v>
      </c>
    </row>
  </sheetData>
  <phoneticPr fontId="13" type="noConversion"/>
  <pageMargins left="0.75" right="0.75" top="1" bottom="1" header="0.5" footer="0.5"/>
  <pageSetup paperSize="9" scale="6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2"/>
  <sheetViews>
    <sheetView rightToLeft="1" tabSelected="1" workbookViewId="0">
      <selection activeCell="A8" sqref="A8"/>
    </sheetView>
  </sheetViews>
  <sheetFormatPr defaultColWidth="0" defaultRowHeight="13.2" zeroHeight="1" x14ac:dyDescent="0.25"/>
  <cols>
    <col min="1" max="1" width="24.5546875" style="405" customWidth="1"/>
    <col min="2" max="2" width="19.33203125" style="405" customWidth="1"/>
    <col min="3" max="3" width="16.88671875" style="405" customWidth="1"/>
    <col min="4" max="4" width="14.44140625" style="405" customWidth="1"/>
    <col min="5" max="5" width="10.33203125" style="405" customWidth="1"/>
    <col min="6" max="6" width="23" style="405" customWidth="1"/>
    <col min="7" max="7" width="40.5546875" style="405" customWidth="1"/>
    <col min="8" max="8" width="10.5546875" style="405" hidden="1" customWidth="1"/>
    <col min="9" max="16384" width="9.109375" style="405" hidden="1"/>
  </cols>
  <sheetData>
    <row r="1" spans="1:7" ht="25.5" customHeight="1" x14ac:dyDescent="0.25">
      <c r="A1" s="448" t="s">
        <v>181</v>
      </c>
      <c r="B1" s="406"/>
      <c r="C1" s="406"/>
      <c r="D1" s="406"/>
      <c r="E1" s="406"/>
      <c r="F1" s="406"/>
      <c r="G1" s="407" t="s">
        <v>180</v>
      </c>
    </row>
    <row r="2" spans="1:7" s="451" customFormat="1" ht="15.6" customHeight="1" x14ac:dyDescent="0.25">
      <c r="A2" s="463" t="s">
        <v>182</v>
      </c>
      <c r="B2" s="462"/>
      <c r="C2" s="462"/>
      <c r="D2" s="462"/>
      <c r="E2" s="462"/>
      <c r="F2" s="462"/>
      <c r="G2" s="407"/>
    </row>
    <row r="3" spans="1:7" ht="26.25" customHeight="1" x14ac:dyDescent="0.25">
      <c r="A3" s="422" t="s">
        <v>169</v>
      </c>
      <c r="B3" s="408"/>
      <c r="C3" s="408"/>
      <c r="D3" s="409"/>
      <c r="E3" s="409"/>
      <c r="F3" s="426"/>
      <c r="G3" s="452"/>
    </row>
    <row r="4" spans="1:7" ht="26.4" x14ac:dyDescent="0.25">
      <c r="A4" s="411" t="s">
        <v>139</v>
      </c>
      <c r="B4" s="412" t="s">
        <v>140</v>
      </c>
      <c r="C4" s="413" t="s">
        <v>141</v>
      </c>
      <c r="D4" s="458" t="s">
        <v>174</v>
      </c>
      <c r="E4" s="406"/>
    </row>
    <row r="5" spans="1:7" ht="16.5" customHeight="1" x14ac:dyDescent="0.25">
      <c r="A5" s="414" t="s">
        <v>133</v>
      </c>
      <c r="B5" s="415">
        <v>1.0999999999999999E-2</v>
      </c>
      <c r="C5" s="416">
        <v>2.3800000000000002E-2</v>
      </c>
      <c r="D5" s="458"/>
      <c r="E5" s="406"/>
    </row>
    <row r="6" spans="1:7" ht="17.25" customHeight="1" x14ac:dyDescent="0.25">
      <c r="A6" s="417" t="s">
        <v>134</v>
      </c>
      <c r="B6" s="418">
        <v>1.2500000000000001E-2</v>
      </c>
      <c r="C6" s="419">
        <v>2.4299999999999999E-2</v>
      </c>
      <c r="D6" s="458"/>
      <c r="E6" s="406"/>
    </row>
    <row r="7" spans="1:7" ht="18" customHeight="1" x14ac:dyDescent="0.25">
      <c r="A7" s="420" t="s">
        <v>136</v>
      </c>
      <c r="B7" s="447" t="s">
        <v>183</v>
      </c>
      <c r="C7" s="421"/>
      <c r="D7" s="406"/>
      <c r="E7" s="406"/>
    </row>
    <row r="8" spans="1:7" ht="36" customHeight="1" x14ac:dyDescent="0.25">
      <c r="A8" s="453" t="s">
        <v>170</v>
      </c>
      <c r="B8" s="408"/>
      <c r="C8" s="408"/>
      <c r="D8" s="409"/>
      <c r="E8" s="409"/>
      <c r="F8" s="410"/>
      <c r="G8" s="452"/>
    </row>
    <row r="9" spans="1:7" customFormat="1" ht="15.6" customHeight="1" x14ac:dyDescent="0.25">
      <c r="A9" s="457" t="s">
        <v>184</v>
      </c>
    </row>
    <row r="10" spans="1:7" ht="26.4" x14ac:dyDescent="0.25">
      <c r="A10" s="455" t="s">
        <v>142</v>
      </c>
      <c r="B10" s="428" t="s">
        <v>143</v>
      </c>
      <c r="C10" s="428" t="s">
        <v>144</v>
      </c>
      <c r="D10" s="427" t="s">
        <v>141</v>
      </c>
      <c r="E10" s="459" t="s">
        <v>174</v>
      </c>
      <c r="F10" s="423"/>
      <c r="G10" s="423"/>
    </row>
    <row r="11" spans="1:7" ht="15" customHeight="1" x14ac:dyDescent="0.25">
      <c r="A11" s="454" t="s">
        <v>133</v>
      </c>
      <c r="B11" s="415">
        <v>1.7500000000000002E-2</v>
      </c>
      <c r="C11" s="424">
        <v>0.1</v>
      </c>
      <c r="D11" s="449">
        <v>2.6499999999999999E-2</v>
      </c>
      <c r="E11" s="459"/>
    </row>
    <row r="12" spans="1:7" ht="15.75" customHeight="1" x14ac:dyDescent="0.25">
      <c r="A12" s="456" t="s">
        <v>134</v>
      </c>
      <c r="B12" s="418">
        <v>1.9E-2</v>
      </c>
      <c r="C12" s="433">
        <v>0.1</v>
      </c>
      <c r="D12" s="450">
        <v>2.8000000000000001E-2</v>
      </c>
      <c r="E12" s="459"/>
    </row>
    <row r="13" spans="1:7" x14ac:dyDescent="0.25">
      <c r="A13" s="420" t="s">
        <v>136</v>
      </c>
      <c r="B13" s="425" t="s">
        <v>185</v>
      </c>
      <c r="C13" s="425"/>
      <c r="D13" s="406"/>
      <c r="E13" s="406"/>
    </row>
    <row r="14" spans="1:7" ht="25.5" customHeight="1" x14ac:dyDescent="0.25">
      <c r="A14" s="422" t="s">
        <v>171</v>
      </c>
      <c r="B14" s="408"/>
      <c r="C14" s="408"/>
      <c r="D14" s="409"/>
      <c r="E14" s="409"/>
      <c r="F14" s="426"/>
      <c r="G14" s="426"/>
    </row>
    <row r="15" spans="1:7" customFormat="1" ht="13.2" customHeight="1" x14ac:dyDescent="0.25">
      <c r="A15" s="457" t="s">
        <v>186</v>
      </c>
    </row>
    <row r="16" spans="1:7" s="423" customFormat="1" ht="26.4" x14ac:dyDescent="0.25">
      <c r="A16" s="427" t="s">
        <v>145</v>
      </c>
      <c r="B16" s="428" t="s">
        <v>143</v>
      </c>
      <c r="C16" s="428" t="s">
        <v>144</v>
      </c>
      <c r="D16" s="429" t="s">
        <v>141</v>
      </c>
      <c r="E16" s="458" t="s">
        <v>174</v>
      </c>
    </row>
    <row r="17" spans="1:5" x14ac:dyDescent="0.25">
      <c r="A17" s="430" t="s">
        <v>133</v>
      </c>
      <c r="B17" s="415">
        <v>3.9E-2</v>
      </c>
      <c r="C17" s="424">
        <v>0.05</v>
      </c>
      <c r="D17" s="431">
        <v>4.1000000000000002E-2</v>
      </c>
      <c r="E17" s="458"/>
    </row>
    <row r="18" spans="1:5" ht="13.8" thickBot="1" x14ac:dyDescent="0.3">
      <c r="A18" s="432" t="s">
        <v>134</v>
      </c>
      <c r="B18" s="418">
        <v>3.9E-2</v>
      </c>
      <c r="C18" s="433">
        <v>0.05</v>
      </c>
      <c r="D18" s="434">
        <v>4.1000000000000002E-2</v>
      </c>
      <c r="E18" s="458"/>
    </row>
    <row r="19" spans="1:5" x14ac:dyDescent="0.25">
      <c r="A19" s="420" t="s">
        <v>135</v>
      </c>
      <c r="B19" s="435" t="s">
        <v>187</v>
      </c>
      <c r="C19" s="435"/>
      <c r="D19" s="406"/>
      <c r="E19" s="406"/>
    </row>
    <row r="20" spans="1:5" ht="28.5" customHeight="1" x14ac:dyDescent="0.25">
      <c r="A20" s="422" t="s">
        <v>146</v>
      </c>
      <c r="B20" s="408"/>
      <c r="C20" s="408"/>
      <c r="D20" s="406"/>
      <c r="E20" s="406"/>
    </row>
    <row r="21" spans="1:5" customFormat="1" ht="16.2" customHeight="1" x14ac:dyDescent="0.25">
      <c r="A21" s="457" t="s">
        <v>188</v>
      </c>
    </row>
    <row r="22" spans="1:5" ht="21.75" customHeight="1" x14ac:dyDescent="0.25">
      <c r="A22" s="436" t="s">
        <v>137</v>
      </c>
      <c r="B22" s="436" t="s">
        <v>45</v>
      </c>
      <c r="C22" s="460" t="s">
        <v>174</v>
      </c>
      <c r="D22" s="406"/>
      <c r="E22" s="406"/>
    </row>
    <row r="23" spans="1:5" x14ac:dyDescent="0.25">
      <c r="A23" s="437" t="s">
        <v>147</v>
      </c>
      <c r="B23" s="438" t="s">
        <v>175</v>
      </c>
      <c r="C23" s="460"/>
    </row>
    <row r="24" spans="1:5" x14ac:dyDescent="0.25">
      <c r="A24" s="437" t="s">
        <v>148</v>
      </c>
      <c r="B24" s="414" t="s">
        <v>176</v>
      </c>
      <c r="C24" s="460"/>
    </row>
    <row r="25" spans="1:5" x14ac:dyDescent="0.25">
      <c r="A25" s="437" t="s">
        <v>149</v>
      </c>
      <c r="B25" s="438" t="s">
        <v>162</v>
      </c>
      <c r="C25" s="460"/>
    </row>
    <row r="26" spans="1:5" x14ac:dyDescent="0.25">
      <c r="A26" s="439" t="s">
        <v>150</v>
      </c>
      <c r="B26" s="440" t="s">
        <v>177</v>
      </c>
      <c r="C26" s="460"/>
    </row>
    <row r="27" spans="1:5" x14ac:dyDescent="0.25">
      <c r="A27" s="420" t="s">
        <v>138</v>
      </c>
      <c r="C27" s="447" t="s">
        <v>189</v>
      </c>
    </row>
    <row r="28" spans="1:5" ht="31.5" customHeight="1" x14ac:dyDescent="0.25">
      <c r="A28" s="422" t="s">
        <v>151</v>
      </c>
      <c r="B28" s="408"/>
      <c r="C28" s="408"/>
      <c r="D28" s="406"/>
      <c r="E28" s="406"/>
    </row>
    <row r="29" spans="1:5" customFormat="1" ht="14.4" customHeight="1" x14ac:dyDescent="0.25">
      <c r="A29" s="457" t="s">
        <v>190</v>
      </c>
    </row>
    <row r="30" spans="1:5" ht="21.75" customHeight="1" x14ac:dyDescent="0.25">
      <c r="A30" s="441" t="s">
        <v>137</v>
      </c>
      <c r="B30" s="442" t="s">
        <v>45</v>
      </c>
      <c r="C30" s="461" t="s">
        <v>174</v>
      </c>
      <c r="D30" s="406"/>
      <c r="E30" s="406"/>
    </row>
    <row r="31" spans="1:5" x14ac:dyDescent="0.25">
      <c r="A31" s="443" t="s">
        <v>152</v>
      </c>
      <c r="B31" s="444" t="s">
        <v>178</v>
      </c>
      <c r="C31" s="461"/>
    </row>
    <row r="32" spans="1:5" x14ac:dyDescent="0.25">
      <c r="A32" s="443" t="s">
        <v>153</v>
      </c>
      <c r="B32" s="444" t="s">
        <v>179</v>
      </c>
      <c r="C32" s="461"/>
    </row>
    <row r="33" spans="1:3" x14ac:dyDescent="0.25">
      <c r="A33" s="443" t="s">
        <v>154</v>
      </c>
      <c r="B33" s="444" t="s">
        <v>163</v>
      </c>
      <c r="C33" s="461"/>
    </row>
    <row r="34" spans="1:3" x14ac:dyDescent="0.25">
      <c r="A34" s="443" t="s">
        <v>155</v>
      </c>
      <c r="B34" s="444" t="s">
        <v>164</v>
      </c>
      <c r="C34" s="461"/>
    </row>
    <row r="35" spans="1:3" x14ac:dyDescent="0.25">
      <c r="A35" s="443" t="s">
        <v>156</v>
      </c>
      <c r="B35" s="444" t="s">
        <v>165</v>
      </c>
      <c r="C35" s="461"/>
    </row>
    <row r="36" spans="1:3" x14ac:dyDescent="0.25">
      <c r="A36" s="443" t="s">
        <v>157</v>
      </c>
      <c r="B36" s="444" t="s">
        <v>166</v>
      </c>
      <c r="C36" s="461"/>
    </row>
    <row r="37" spans="1:3" x14ac:dyDescent="0.25">
      <c r="A37" s="443" t="s">
        <v>158</v>
      </c>
      <c r="B37" s="444" t="s">
        <v>167</v>
      </c>
      <c r="C37" s="461"/>
    </row>
    <row r="38" spans="1:3" x14ac:dyDescent="0.25">
      <c r="A38" s="443" t="s">
        <v>159</v>
      </c>
      <c r="B38" s="444" t="s">
        <v>168</v>
      </c>
      <c r="C38" s="461"/>
    </row>
    <row r="39" spans="1:3" x14ac:dyDescent="0.25">
      <c r="A39" s="443" t="s">
        <v>160</v>
      </c>
      <c r="B39" s="444" t="s">
        <v>172</v>
      </c>
      <c r="C39" s="461"/>
    </row>
    <row r="40" spans="1:3" x14ac:dyDescent="0.25">
      <c r="A40" s="445" t="s">
        <v>161</v>
      </c>
      <c r="B40" s="446" t="s">
        <v>173</v>
      </c>
      <c r="C40" s="461"/>
    </row>
    <row r="41" spans="1:3" x14ac:dyDescent="0.25">
      <c r="A41" s="420" t="s">
        <v>138</v>
      </c>
      <c r="C41" s="447" t="s">
        <v>132</v>
      </c>
    </row>
    <row r="42" spans="1:3" x14ac:dyDescent="0.25">
      <c r="A42" s="447" t="s">
        <v>132</v>
      </c>
    </row>
  </sheetData>
  <sheetProtection algorithmName="SHA-512" hashValue="X1cY2npj/6li2UfK9l/j2UIX67pJy6ma2aoPqJ65BtIs3KqYJZeKU1VH7zLM1B61Zi5wPDE6/M8A3bkKd7ec6g==" saltValue="3R/JNGYRvItiaGYXaIiO+w==" spinCount="100000" sheet="1" objects="1" scenarios="1"/>
  <mergeCells count="5">
    <mergeCell ref="D4:D6"/>
    <mergeCell ref="E10:E12"/>
    <mergeCell ref="E16:E18"/>
    <mergeCell ref="C22:C26"/>
    <mergeCell ref="C30:C40"/>
  </mergeCells>
  <pageMargins left="0.7" right="0.7" top="0.75" bottom="0.75" header="0.3" footer="0.3"/>
  <pageSetup paperSize="9" orientation="portrait" r:id="rId1"/>
  <tableParts count="5">
    <tablePart r:id="rId2"/>
    <tablePart r:id="rId3"/>
    <tablePart r:id="rId4"/>
    <tablePart r:id="rId5"/>
    <tablePart r:id="rId6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4"/>
  <dimension ref="A1:CO41"/>
  <sheetViews>
    <sheetView rightToLeft="1" topLeftCell="S1" zoomScale="75" zoomScaleNormal="75" workbookViewId="0">
      <selection activeCell="Y13" sqref="Y13"/>
    </sheetView>
  </sheetViews>
  <sheetFormatPr defaultColWidth="8.88671875" defaultRowHeight="17.399999999999999" x14ac:dyDescent="0.3"/>
  <cols>
    <col min="1" max="1" width="20" style="118" customWidth="1"/>
    <col min="2" max="2" width="11.6640625" style="199" customWidth="1"/>
    <col min="3" max="3" width="4.6640625" style="118" customWidth="1"/>
    <col min="4" max="4" width="24.6640625" style="164" customWidth="1"/>
    <col min="5" max="5" width="12.6640625" style="199" customWidth="1"/>
    <col min="6" max="6" width="4.6640625" style="118" customWidth="1"/>
    <col min="7" max="7" width="15.6640625" style="164" customWidth="1"/>
    <col min="8" max="8" width="12.6640625" style="199" customWidth="1"/>
    <col min="9" max="9" width="4.6640625" style="118" customWidth="1"/>
    <col min="10" max="10" width="14.88671875" style="118" customWidth="1"/>
    <col min="11" max="12" width="8.88671875" style="118" customWidth="1"/>
    <col min="13" max="13" width="12.88671875" style="118" customWidth="1"/>
    <col min="14" max="19" width="8.88671875" style="118" customWidth="1"/>
    <col min="20" max="20" width="19.109375" style="118" customWidth="1"/>
    <col min="21" max="22" width="8.88671875" style="118" customWidth="1"/>
    <col min="23" max="23" width="20.88671875" style="118" customWidth="1"/>
    <col min="24" max="24" width="19.6640625" style="118" customWidth="1"/>
    <col min="25" max="25" width="10" style="118" customWidth="1"/>
    <col min="26" max="26" width="30.5546875" style="118" customWidth="1"/>
    <col min="27" max="31" width="8.88671875" style="118" customWidth="1"/>
    <col min="32" max="32" width="17" style="118" customWidth="1"/>
    <col min="33" max="33" width="8.88671875" style="118" customWidth="1"/>
    <col min="34" max="34" width="19.5546875" style="118" customWidth="1"/>
    <col min="35" max="35" width="49.88671875" style="118" customWidth="1"/>
    <col min="36" max="37" width="8.88671875" style="118" customWidth="1"/>
    <col min="38" max="38" width="21.44140625" style="118" customWidth="1"/>
    <col min="39" max="40" width="8.88671875" style="118" customWidth="1"/>
    <col min="41" max="41" width="27.6640625" style="118" customWidth="1"/>
    <col min="42" max="84" width="8.88671875" style="118" customWidth="1"/>
    <col min="85" max="85" width="16.5546875" style="118" customWidth="1"/>
    <col min="86" max="86" width="17.109375" style="118" customWidth="1"/>
    <col min="87" max="87" width="25.33203125" style="118" customWidth="1"/>
    <col min="88" max="88" width="19.6640625" style="118" customWidth="1"/>
    <col min="89" max="89" width="14" style="118" customWidth="1"/>
    <col min="90" max="90" width="19.6640625" style="118" customWidth="1"/>
    <col min="91" max="91" width="14.44140625" style="118" bestFit="1" customWidth="1"/>
    <col min="92" max="16384" width="8.88671875" style="118"/>
  </cols>
  <sheetData>
    <row r="1" spans="1:93" x14ac:dyDescent="0.3">
      <c r="A1" s="203" t="s">
        <v>91</v>
      </c>
      <c r="E1" s="310"/>
      <c r="T1" s="203" t="s">
        <v>131</v>
      </c>
      <c r="U1" s="199"/>
      <c r="W1" s="164"/>
      <c r="X1" s="310"/>
      <c r="Z1" s="164"/>
      <c r="AA1" s="199"/>
    </row>
    <row r="2" spans="1:93" ht="18" thickBot="1" x14ac:dyDescent="0.35">
      <c r="M2" s="192">
        <v>-1.2999999999999999E-2</v>
      </c>
      <c r="T2" s="118" t="s">
        <v>89</v>
      </c>
      <c r="U2" s="226" t="s">
        <v>93</v>
      </c>
      <c r="W2" s="164"/>
      <c r="X2" s="199"/>
      <c r="Z2" s="164"/>
      <c r="AA2" s="199"/>
      <c r="AF2" s="192">
        <v>-3.3000000000000002E-2</v>
      </c>
      <c r="AI2"/>
      <c r="AJ2"/>
      <c r="AK2"/>
      <c r="AL2"/>
      <c r="AM2"/>
      <c r="AN2"/>
      <c r="AO2"/>
      <c r="AP2"/>
      <c r="AQ2"/>
      <c r="CI2" s="203" t="s">
        <v>94</v>
      </c>
      <c r="CJ2" s="199"/>
      <c r="CL2" s="164"/>
      <c r="CM2" s="310"/>
      <c r="CO2" s="164"/>
    </row>
    <row r="3" spans="1:93" ht="19.95" customHeight="1" thickBot="1" x14ac:dyDescent="0.35">
      <c r="A3" s="205" t="s">
        <v>47</v>
      </c>
      <c r="B3" s="215" t="s">
        <v>57</v>
      </c>
      <c r="C3" s="220"/>
      <c r="D3" s="206" t="s">
        <v>59</v>
      </c>
      <c r="E3" s="215" t="s">
        <v>61</v>
      </c>
      <c r="F3" s="220"/>
      <c r="G3" s="207" t="s">
        <v>45</v>
      </c>
      <c r="H3" s="200"/>
      <c r="M3" s="310">
        <v>39779</v>
      </c>
      <c r="T3" s="205" t="s">
        <v>47</v>
      </c>
      <c r="U3" s="215" t="s">
        <v>57</v>
      </c>
      <c r="V3" s="220"/>
      <c r="W3" s="207" t="s">
        <v>59</v>
      </c>
      <c r="X3" s="196" t="s">
        <v>61</v>
      </c>
      <c r="Y3" s="344"/>
      <c r="Z3" s="207" t="s">
        <v>45</v>
      </c>
      <c r="AA3" s="200"/>
      <c r="AF3" s="310">
        <v>39898</v>
      </c>
      <c r="AI3"/>
      <c r="AJ3"/>
      <c r="AK3"/>
      <c r="AL3"/>
      <c r="AM3"/>
      <c r="AN3"/>
      <c r="AO3"/>
      <c r="AP3"/>
      <c r="AQ3"/>
      <c r="CI3" s="118" t="s">
        <v>100</v>
      </c>
      <c r="CJ3" s="226"/>
      <c r="CL3" s="164"/>
      <c r="CM3" s="199"/>
      <c r="CO3" s="164"/>
    </row>
    <row r="4" spans="1:93" ht="19.95" customHeight="1" thickBot="1" x14ac:dyDescent="0.35">
      <c r="A4" s="212"/>
      <c r="B4" s="216" t="s">
        <v>58</v>
      </c>
      <c r="C4" s="221"/>
      <c r="D4" s="122" t="s">
        <v>58</v>
      </c>
      <c r="E4" s="216" t="s">
        <v>62</v>
      </c>
      <c r="F4" s="221"/>
      <c r="G4" s="214" t="s">
        <v>17</v>
      </c>
      <c r="H4" s="201"/>
      <c r="T4" s="212"/>
      <c r="U4" s="216" t="s">
        <v>58</v>
      </c>
      <c r="V4" s="221"/>
      <c r="W4" s="214" t="s">
        <v>58</v>
      </c>
      <c r="X4" s="402" t="s">
        <v>62</v>
      </c>
      <c r="Y4" s="403"/>
      <c r="Z4" s="214" t="s">
        <v>17</v>
      </c>
      <c r="AA4" s="201"/>
      <c r="AI4"/>
      <c r="AJ4"/>
      <c r="AK4"/>
      <c r="AL4"/>
      <c r="AM4"/>
      <c r="AN4"/>
      <c r="AO4"/>
      <c r="AP4"/>
      <c r="AQ4"/>
      <c r="CI4" s="205" t="s">
        <v>47</v>
      </c>
      <c r="CJ4" s="215" t="s">
        <v>57</v>
      </c>
      <c r="CK4" s="344"/>
      <c r="CL4"/>
      <c r="CM4"/>
      <c r="CN4"/>
      <c r="CO4"/>
    </row>
    <row r="5" spans="1:93" ht="18.600000000000001" thickTop="1" thickBot="1" x14ac:dyDescent="0.35">
      <c r="A5" s="208" t="s">
        <v>48</v>
      </c>
      <c r="B5" s="217">
        <v>2.8000000000000001E-2</v>
      </c>
      <c r="C5" s="222" t="s">
        <v>56</v>
      </c>
      <c r="D5" s="129">
        <f>B14-B5</f>
        <v>1.2E-2</v>
      </c>
      <c r="E5" s="224">
        <f>D5</f>
        <v>1.2E-2</v>
      </c>
      <c r="F5" s="222"/>
      <c r="G5" s="192">
        <f>(1+E5/4)^4-1</f>
        <v>1.2054108080999493E-2</v>
      </c>
      <c r="H5" s="204"/>
      <c r="I5" s="198"/>
      <c r="T5" s="208" t="s">
        <v>48</v>
      </c>
      <c r="U5" s="217">
        <v>0.02</v>
      </c>
      <c r="V5" s="356" t="s">
        <v>56</v>
      </c>
      <c r="W5" s="376">
        <f>+U14-U5</f>
        <v>7.4999999999999997E-3</v>
      </c>
      <c r="X5" s="379">
        <f>+W5</f>
        <v>7.4999999999999997E-3</v>
      </c>
      <c r="Y5" s="346"/>
      <c r="Z5" s="192">
        <f>(1+X5/4)^4-1</f>
        <v>7.5211201295473096E-3</v>
      </c>
      <c r="AA5" s="204"/>
      <c r="AB5" s="198"/>
      <c r="AI5"/>
      <c r="AJ5"/>
      <c r="AK5"/>
      <c r="AL5"/>
      <c r="AM5"/>
      <c r="AN5"/>
      <c r="AO5"/>
      <c r="AP5"/>
      <c r="AQ5"/>
      <c r="CI5" s="208"/>
      <c r="CJ5" s="342" t="s">
        <v>58</v>
      </c>
      <c r="CK5" s="345"/>
      <c r="CL5"/>
      <c r="CM5"/>
      <c r="CN5"/>
      <c r="CO5"/>
    </row>
    <row r="6" spans="1:93" x14ac:dyDescent="0.3">
      <c r="A6" s="208" t="s">
        <v>49</v>
      </c>
      <c r="B6" s="218">
        <f>B5-0.004</f>
        <v>2.4E-2</v>
      </c>
      <c r="C6" s="222" t="s">
        <v>56</v>
      </c>
      <c r="D6" s="129">
        <f>D5+0.004</f>
        <v>1.6E-2</v>
      </c>
      <c r="E6" s="224">
        <f>E5+0.002</f>
        <v>1.4E-2</v>
      </c>
      <c r="F6" s="222"/>
      <c r="G6" s="192">
        <f>(1+E6/2)^2-1</f>
        <v>1.4048999999999756E-2</v>
      </c>
      <c r="H6" s="204"/>
      <c r="I6" s="198"/>
      <c r="T6" s="208" t="s">
        <v>49</v>
      </c>
      <c r="U6" s="218">
        <v>1.7500000000000002E-2</v>
      </c>
      <c r="V6" s="356" t="s">
        <v>56</v>
      </c>
      <c r="W6" s="377">
        <f>+$U$14-U6</f>
        <v>9.9999999999999985E-3</v>
      </c>
      <c r="X6" s="401">
        <f>X5+0.00125</f>
        <v>8.7499999999999991E-3</v>
      </c>
      <c r="Y6" s="347"/>
      <c r="Z6" s="192">
        <f>(1+X6/2)^2-1</f>
        <v>8.7691406250001158E-3</v>
      </c>
      <c r="AA6" s="204"/>
      <c r="AB6" s="198"/>
      <c r="AI6"/>
      <c r="AJ6"/>
      <c r="AK6"/>
      <c r="AL6"/>
      <c r="AM6"/>
      <c r="AN6"/>
      <c r="AO6"/>
      <c r="AP6"/>
      <c r="AQ6"/>
      <c r="CI6" s="205" t="s">
        <v>48</v>
      </c>
      <c r="CJ6" s="343">
        <v>2.8000000000000001E-2</v>
      </c>
      <c r="CK6" s="346" t="s">
        <v>56</v>
      </c>
      <c r="CL6"/>
      <c r="CM6"/>
      <c r="CN6"/>
      <c r="CO6"/>
    </row>
    <row r="7" spans="1:93" x14ac:dyDescent="0.3">
      <c r="A7" s="208" t="s">
        <v>50</v>
      </c>
      <c r="B7" s="218">
        <f t="shared" ref="B7:B12" si="0">B6-0.004</f>
        <v>0.02</v>
      </c>
      <c r="C7" s="222" t="s">
        <v>56</v>
      </c>
      <c r="D7" s="129">
        <f t="shared" ref="D7:D12" si="1">D6+0.004</f>
        <v>0.02</v>
      </c>
      <c r="E7" s="224">
        <f t="shared" ref="E7:E12" si="2">E6+0.002</f>
        <v>1.6E-2</v>
      </c>
      <c r="F7" s="222"/>
      <c r="G7" s="192">
        <f>(1+E7/(4/3))^(4/3)-1</f>
        <v>1.6031915090622517E-2</v>
      </c>
      <c r="H7" s="204"/>
      <c r="I7" s="198"/>
      <c r="T7" s="208" t="s">
        <v>50</v>
      </c>
      <c r="U7" s="218">
        <v>1.4999999999999999E-2</v>
      </c>
      <c r="V7" s="356" t="s">
        <v>56</v>
      </c>
      <c r="W7" s="377">
        <f t="shared" ref="W7:W12" si="3">+$U$14-U7</f>
        <v>1.2500000000000001E-2</v>
      </c>
      <c r="X7" s="401">
        <f t="shared" ref="X7:X12" si="4">X6+0.00125</f>
        <v>9.9999999999999985E-3</v>
      </c>
      <c r="Y7" s="347"/>
      <c r="Z7" s="192">
        <f>(1+X7/(4/3))^(4/3)-1</f>
        <v>1.0012479231511717E-2</v>
      </c>
      <c r="AA7" s="204"/>
      <c r="AB7" s="198"/>
      <c r="AI7"/>
      <c r="AJ7"/>
      <c r="AK7"/>
      <c r="AL7"/>
      <c r="AM7"/>
      <c r="AN7"/>
      <c r="AO7"/>
      <c r="AP7"/>
      <c r="AQ7"/>
      <c r="CI7" s="208" t="s">
        <v>49</v>
      </c>
      <c r="CJ7" s="218">
        <f>CJ6-0.004</f>
        <v>2.4E-2</v>
      </c>
      <c r="CK7" s="347" t="s">
        <v>56</v>
      </c>
      <c r="CL7"/>
      <c r="CM7"/>
      <c r="CN7"/>
      <c r="CO7"/>
    </row>
    <row r="8" spans="1:93" x14ac:dyDescent="0.3">
      <c r="A8" s="208" t="s">
        <v>51</v>
      </c>
      <c r="B8" s="218">
        <f t="shared" si="0"/>
        <v>1.6E-2</v>
      </c>
      <c r="C8" s="222" t="s">
        <v>56</v>
      </c>
      <c r="D8" s="129">
        <f t="shared" si="1"/>
        <v>2.4E-2</v>
      </c>
      <c r="E8" s="224">
        <f t="shared" si="2"/>
        <v>1.8000000000000002E-2</v>
      </c>
      <c r="F8" s="222"/>
      <c r="G8" s="192">
        <f>(1+E8/1)^1-1</f>
        <v>1.8000000000000016E-2</v>
      </c>
      <c r="H8" s="204"/>
      <c r="I8" s="198"/>
      <c r="T8" s="208" t="s">
        <v>51</v>
      </c>
      <c r="U8" s="218">
        <v>1.2500000000000001E-2</v>
      </c>
      <c r="V8" s="356" t="s">
        <v>56</v>
      </c>
      <c r="W8" s="377">
        <f t="shared" si="3"/>
        <v>1.4999999999999999E-2</v>
      </c>
      <c r="X8" s="401">
        <f t="shared" si="4"/>
        <v>1.1249999999999998E-2</v>
      </c>
      <c r="Y8" s="347"/>
      <c r="Z8" s="192">
        <f>(1+X8/1)^1-1</f>
        <v>1.1249999999999982E-2</v>
      </c>
      <c r="AA8" s="204"/>
      <c r="AB8" s="198"/>
      <c r="AI8"/>
      <c r="AJ8"/>
      <c r="AK8"/>
      <c r="AL8"/>
      <c r="AM8"/>
      <c r="AN8"/>
      <c r="AO8"/>
      <c r="AP8"/>
      <c r="AQ8"/>
      <c r="CI8" s="208" t="s">
        <v>50</v>
      </c>
      <c r="CJ8" s="218">
        <f>CJ7-0.004</f>
        <v>0.02</v>
      </c>
      <c r="CK8" s="347" t="s">
        <v>56</v>
      </c>
      <c r="CL8"/>
      <c r="CM8"/>
      <c r="CN8"/>
      <c r="CO8"/>
    </row>
    <row r="9" spans="1:93" ht="18" thickBot="1" x14ac:dyDescent="0.35">
      <c r="A9" s="208" t="s">
        <v>52</v>
      </c>
      <c r="B9" s="218">
        <f t="shared" si="0"/>
        <v>1.2E-2</v>
      </c>
      <c r="C9" s="222" t="s">
        <v>56</v>
      </c>
      <c r="D9" s="129">
        <f t="shared" si="1"/>
        <v>2.8000000000000001E-2</v>
      </c>
      <c r="E9" s="224">
        <f t="shared" si="2"/>
        <v>2.0000000000000004E-2</v>
      </c>
      <c r="F9" s="222"/>
      <c r="G9" s="192">
        <f>(1+E9/(4/5))^(4/5)-1</f>
        <v>1.9950493233110045E-2</v>
      </c>
      <c r="H9" s="204"/>
      <c r="I9" s="198"/>
      <c r="T9" s="208" t="s">
        <v>52</v>
      </c>
      <c r="U9" s="218">
        <v>0.01</v>
      </c>
      <c r="V9" s="356" t="s">
        <v>56</v>
      </c>
      <c r="W9" s="377">
        <f t="shared" si="3"/>
        <v>1.7500000000000002E-2</v>
      </c>
      <c r="X9" s="401">
        <f t="shared" si="4"/>
        <v>1.2499999999999997E-2</v>
      </c>
      <c r="Y9" s="347"/>
      <c r="Z9" s="192">
        <f>(1+X9/(4/5))^(4/5)-1</f>
        <v>1.2480589781647788E-2</v>
      </c>
      <c r="AA9" s="204"/>
      <c r="AB9" s="198"/>
      <c r="AI9"/>
      <c r="AJ9"/>
      <c r="AK9"/>
      <c r="AL9"/>
      <c r="AM9"/>
      <c r="AN9"/>
      <c r="AO9"/>
      <c r="AP9"/>
      <c r="AQ9"/>
      <c r="CI9" s="210" t="s">
        <v>51</v>
      </c>
      <c r="CJ9" s="219">
        <f>CJ8-0.004</f>
        <v>1.6E-2</v>
      </c>
      <c r="CK9" s="348" t="s">
        <v>56</v>
      </c>
      <c r="CL9"/>
      <c r="CM9"/>
      <c r="CN9"/>
      <c r="CO9"/>
    </row>
    <row r="10" spans="1:93" x14ac:dyDescent="0.3">
      <c r="A10" s="208" t="s">
        <v>53</v>
      </c>
      <c r="B10" s="218">
        <f t="shared" si="0"/>
        <v>8.0000000000000002E-3</v>
      </c>
      <c r="C10" s="222" t="s">
        <v>56</v>
      </c>
      <c r="D10" s="129">
        <f t="shared" si="1"/>
        <v>3.2000000000000001E-2</v>
      </c>
      <c r="E10" s="224">
        <f t="shared" si="2"/>
        <v>2.2000000000000006E-2</v>
      </c>
      <c r="F10" s="222"/>
      <c r="G10" s="192">
        <f>(1+E10/(4/6))^(4/6)-1</f>
        <v>2.1880741238430979E-2</v>
      </c>
      <c r="H10" s="204"/>
      <c r="I10" s="198"/>
      <c r="T10" s="208" t="s">
        <v>53</v>
      </c>
      <c r="U10" s="218">
        <v>7.4999999999999997E-3</v>
      </c>
      <c r="V10" s="356" t="s">
        <v>56</v>
      </c>
      <c r="W10" s="377">
        <f t="shared" si="3"/>
        <v>0.02</v>
      </c>
      <c r="X10" s="401">
        <f t="shared" si="4"/>
        <v>1.3749999999999997E-2</v>
      </c>
      <c r="Y10" s="347"/>
      <c r="Z10" s="192">
        <f>(1+X10/(4/6))^(4/6)-1</f>
        <v>1.3703162501095045E-2</v>
      </c>
      <c r="AA10" s="204"/>
      <c r="AB10" s="198"/>
      <c r="AI10"/>
      <c r="AJ10"/>
      <c r="AK10"/>
      <c r="AL10"/>
      <c r="AM10"/>
      <c r="AN10"/>
      <c r="AO10"/>
      <c r="AP10"/>
      <c r="AQ10"/>
    </row>
    <row r="11" spans="1:93" x14ac:dyDescent="0.3">
      <c r="A11" s="208" t="s">
        <v>54</v>
      </c>
      <c r="B11" s="218">
        <f t="shared" si="0"/>
        <v>4.0000000000000001E-3</v>
      </c>
      <c r="C11" s="222" t="s">
        <v>56</v>
      </c>
      <c r="D11" s="129">
        <f t="shared" si="1"/>
        <v>3.6000000000000004E-2</v>
      </c>
      <c r="E11" s="224">
        <f t="shared" si="2"/>
        <v>2.4000000000000007E-2</v>
      </c>
      <c r="F11" s="222"/>
      <c r="G11" s="192">
        <f>(1+E11/(4/7))^(4/7)-1</f>
        <v>2.3788212917356111E-2</v>
      </c>
      <c r="H11" s="204"/>
      <c r="I11" s="198"/>
      <c r="T11" s="208" t="s">
        <v>54</v>
      </c>
      <c r="U11" s="218">
        <v>5.0000000000000001E-3</v>
      </c>
      <c r="V11" s="356" t="s">
        <v>56</v>
      </c>
      <c r="W11" s="377">
        <f t="shared" si="3"/>
        <v>2.2499999999999999E-2</v>
      </c>
      <c r="X11" s="401">
        <f t="shared" si="4"/>
        <v>1.4999999999999996E-2</v>
      </c>
      <c r="Y11" s="347"/>
      <c r="Z11" s="192">
        <f>(1+X11/(4/7))^(4/7)-1</f>
        <v>1.4916663175236211E-2</v>
      </c>
      <c r="AA11" s="204"/>
      <c r="AB11" s="198"/>
      <c r="AI11"/>
      <c r="AJ11"/>
      <c r="AK11"/>
      <c r="AL11"/>
      <c r="AM11"/>
      <c r="AN11"/>
      <c r="AO11"/>
      <c r="AP11"/>
      <c r="AQ11"/>
      <c r="CI11" s="118" t="s">
        <v>95</v>
      </c>
    </row>
    <row r="12" spans="1:93" ht="18" thickBot="1" x14ac:dyDescent="0.35">
      <c r="A12" s="210" t="s">
        <v>55</v>
      </c>
      <c r="B12" s="219">
        <f t="shared" si="0"/>
        <v>0</v>
      </c>
      <c r="C12" s="223" t="s">
        <v>56</v>
      </c>
      <c r="D12" s="321">
        <f t="shared" si="1"/>
        <v>4.0000000000000008E-2</v>
      </c>
      <c r="E12" s="225">
        <f t="shared" si="2"/>
        <v>2.6000000000000009E-2</v>
      </c>
      <c r="F12" s="223"/>
      <c r="G12" s="194">
        <f>(1+E12/(4/8))^(4/8)-1</f>
        <v>2.567051239664675E-2</v>
      </c>
      <c r="H12" s="204"/>
      <c r="I12" s="198"/>
      <c r="T12" s="210" t="s">
        <v>55</v>
      </c>
      <c r="U12" s="219">
        <v>2.5000000000000001E-3</v>
      </c>
      <c r="V12" s="211" t="s">
        <v>56</v>
      </c>
      <c r="W12" s="378">
        <f t="shared" si="3"/>
        <v>2.5000000000000001E-2</v>
      </c>
      <c r="X12" s="404">
        <f t="shared" si="4"/>
        <v>1.6249999999999997E-2</v>
      </c>
      <c r="Y12" s="348"/>
      <c r="Z12" s="194">
        <f>(1+X12/(4/8))^(4/8)-1</f>
        <v>1.6120071645078671E-2</v>
      </c>
      <c r="AA12" s="204"/>
      <c r="AB12" s="198"/>
      <c r="CH12" s="118" t="s">
        <v>96</v>
      </c>
      <c r="CJ12" s="118" t="s">
        <v>97</v>
      </c>
      <c r="CK12" s="118" t="s">
        <v>98</v>
      </c>
    </row>
    <row r="13" spans="1:93" x14ac:dyDescent="0.3">
      <c r="U13" s="199"/>
      <c r="W13" s="164"/>
      <c r="X13" s="199"/>
      <c r="Z13" s="164"/>
      <c r="AA13" s="199"/>
      <c r="AC13" s="118">
        <v>1.75</v>
      </c>
      <c r="CG13" s="205"/>
      <c r="CH13" s="349">
        <v>-250000</v>
      </c>
      <c r="CI13" s="350">
        <v>100000</v>
      </c>
      <c r="CJ13" s="355">
        <v>0.02</v>
      </c>
      <c r="CK13" s="346" t="s">
        <v>56</v>
      </c>
    </row>
    <row r="14" spans="1:93" x14ac:dyDescent="0.3">
      <c r="A14" s="164" t="s">
        <v>60</v>
      </c>
      <c r="B14" s="324">
        <f>5.3%+M2</f>
        <v>0.04</v>
      </c>
      <c r="E14" s="202"/>
      <c r="H14" s="202"/>
      <c r="T14" s="164" t="s">
        <v>60</v>
      </c>
      <c r="U14" s="202">
        <v>2.75E-2</v>
      </c>
      <c r="W14" s="164"/>
      <c r="X14" s="202"/>
      <c r="Z14" s="164"/>
      <c r="AA14" s="202"/>
      <c r="AC14" s="118">
        <f>+AC13/2</f>
        <v>0.875</v>
      </c>
      <c r="CG14" s="208"/>
      <c r="CH14" s="351">
        <v>-500000</v>
      </c>
      <c r="CI14" s="352">
        <v>250000</v>
      </c>
      <c r="CJ14" s="129">
        <v>1.8499999999999999E-2</v>
      </c>
      <c r="CK14" s="347" t="s">
        <v>56</v>
      </c>
      <c r="CL14" s="164"/>
      <c r="CM14" s="199"/>
      <c r="CO14" s="164"/>
    </row>
    <row r="15" spans="1:93" ht="18" thickBot="1" x14ac:dyDescent="0.35">
      <c r="A15" s="118" t="s">
        <v>83</v>
      </c>
      <c r="T15" s="118" t="s">
        <v>130</v>
      </c>
      <c r="U15" s="199"/>
      <c r="W15" s="164"/>
      <c r="X15" s="199"/>
      <c r="Z15" s="164"/>
      <c r="AA15" s="199"/>
      <c r="CG15" s="210" t="s">
        <v>99</v>
      </c>
      <c r="CH15" s="353">
        <v>500000</v>
      </c>
      <c r="CI15" s="354"/>
      <c r="CJ15" s="136">
        <v>1.7000000000000001E-2</v>
      </c>
      <c r="CK15" s="348" t="s">
        <v>56</v>
      </c>
    </row>
    <row r="16" spans="1:93" x14ac:dyDescent="0.3">
      <c r="U16" s="199"/>
      <c r="W16" s="164"/>
      <c r="X16" s="199"/>
      <c r="Z16" s="164"/>
      <c r="AA16" s="199"/>
    </row>
    <row r="17" spans="1:93" ht="18" thickBot="1" x14ac:dyDescent="0.35">
      <c r="U17" s="199"/>
      <c r="W17" s="164"/>
      <c r="X17" s="199"/>
      <c r="Z17" s="164"/>
      <c r="AA17" s="199"/>
      <c r="CH17" s="118" t="s">
        <v>101</v>
      </c>
    </row>
    <row r="18" spans="1:93" ht="18" thickBot="1" x14ac:dyDescent="0.35">
      <c r="A18" s="328" t="s">
        <v>92</v>
      </c>
      <c r="E18" s="310"/>
      <c r="T18" s="328" t="s">
        <v>116</v>
      </c>
      <c r="U18" s="199"/>
      <c r="W18" s="164"/>
      <c r="X18" s="310"/>
      <c r="Z18" s="164"/>
      <c r="AA18" s="199"/>
      <c r="CG18" s="360"/>
      <c r="CH18" s="358" t="s">
        <v>99</v>
      </c>
      <c r="CI18" s="359">
        <v>500000</v>
      </c>
      <c r="CJ18" s="361">
        <v>-500000</v>
      </c>
      <c r="CK18" s="359">
        <v>250000</v>
      </c>
      <c r="CL18" s="349">
        <v>-250000</v>
      </c>
      <c r="CM18" s="350">
        <v>100000</v>
      </c>
    </row>
    <row r="19" spans="1:93" x14ac:dyDescent="0.3">
      <c r="A19" s="118" t="s">
        <v>63</v>
      </c>
      <c r="T19" s="118" t="s">
        <v>90</v>
      </c>
      <c r="U19" s="199"/>
      <c r="W19" s="164"/>
      <c r="X19" s="199"/>
      <c r="Z19" s="164"/>
      <c r="AA19" s="199"/>
      <c r="CG19" s="208" t="s">
        <v>52</v>
      </c>
      <c r="CH19" s="218">
        <v>1.6E-2</v>
      </c>
      <c r="CI19" s="356" t="s">
        <v>56</v>
      </c>
      <c r="CJ19" s="357">
        <v>1.7500000000000002E-2</v>
      </c>
      <c r="CK19" s="346" t="s">
        <v>56</v>
      </c>
      <c r="CL19" s="357">
        <v>1.9E-2</v>
      </c>
      <c r="CM19" s="346" t="s">
        <v>56</v>
      </c>
      <c r="CN19" s="129"/>
      <c r="CO19" s="222"/>
    </row>
    <row r="20" spans="1:93" ht="18" thickBot="1" x14ac:dyDescent="0.35">
      <c r="U20" s="199"/>
      <c r="W20" s="164"/>
      <c r="X20" s="199"/>
      <c r="Z20" s="164"/>
      <c r="AA20" s="199"/>
      <c r="CG20" s="208" t="s">
        <v>53</v>
      </c>
      <c r="CH20" s="218">
        <v>1.4999999999999999E-2</v>
      </c>
      <c r="CI20" s="356" t="s">
        <v>56</v>
      </c>
      <c r="CJ20" s="131">
        <v>1.6500000000000001E-2</v>
      </c>
      <c r="CK20" s="347" t="s">
        <v>56</v>
      </c>
      <c r="CL20" s="131">
        <v>1.7999999999999999E-2</v>
      </c>
      <c r="CM20" s="347" t="s">
        <v>56</v>
      </c>
      <c r="CN20" s="129"/>
      <c r="CO20" s="222"/>
    </row>
    <row r="21" spans="1:93" s="226" customFormat="1" x14ac:dyDescent="0.3">
      <c r="A21" s="227" t="s">
        <v>64</v>
      </c>
      <c r="B21" s="230" t="s">
        <v>66</v>
      </c>
      <c r="C21" s="231"/>
      <c r="D21" s="161"/>
      <c r="E21" s="232" t="s">
        <v>67</v>
      </c>
      <c r="F21" s="231"/>
      <c r="G21" s="233"/>
      <c r="H21" s="234" t="s">
        <v>68</v>
      </c>
      <c r="I21" s="231"/>
      <c r="J21" s="235"/>
      <c r="T21" s="227" t="s">
        <v>64</v>
      </c>
      <c r="U21" s="234" t="s">
        <v>102</v>
      </c>
      <c r="V21" s="231"/>
      <c r="W21" s="235"/>
      <c r="X21" s="234" t="s">
        <v>103</v>
      </c>
      <c r="Y21" s="231"/>
      <c r="Z21" s="235"/>
      <c r="CG21" s="208" t="s">
        <v>54</v>
      </c>
      <c r="CH21" s="218">
        <v>1.4E-2</v>
      </c>
      <c r="CI21" s="356" t="s">
        <v>56</v>
      </c>
      <c r="CJ21" s="131">
        <v>1.55E-2</v>
      </c>
      <c r="CK21" s="347" t="s">
        <v>56</v>
      </c>
      <c r="CL21" s="131">
        <v>1.7000000000000001E-2</v>
      </c>
      <c r="CM21" s="347" t="s">
        <v>56</v>
      </c>
      <c r="CN21" s="129"/>
      <c r="CO21" s="222"/>
    </row>
    <row r="22" spans="1:93" ht="18" thickBot="1" x14ac:dyDescent="0.35">
      <c r="A22" s="228"/>
      <c r="B22" s="229" t="s">
        <v>65</v>
      </c>
      <c r="C22" s="213"/>
      <c r="D22" s="236" t="s">
        <v>17</v>
      </c>
      <c r="E22" s="122" t="s">
        <v>65</v>
      </c>
      <c r="F22" s="213"/>
      <c r="G22" s="236" t="s">
        <v>17</v>
      </c>
      <c r="H22" s="229" t="s">
        <v>65</v>
      </c>
      <c r="I22" s="213"/>
      <c r="J22" s="236" t="s">
        <v>17</v>
      </c>
      <c r="T22" s="228"/>
      <c r="U22" s="229" t="s">
        <v>65</v>
      </c>
      <c r="V22" s="213"/>
      <c r="W22" s="236" t="s">
        <v>17</v>
      </c>
      <c r="X22" s="229" t="s">
        <v>65</v>
      </c>
      <c r="Y22" s="213"/>
      <c r="Z22" s="236" t="s">
        <v>17</v>
      </c>
      <c r="CG22" s="210" t="s">
        <v>55</v>
      </c>
      <c r="CH22" s="219">
        <v>1.2999999999999999E-2</v>
      </c>
      <c r="CI22" s="211" t="s">
        <v>56</v>
      </c>
      <c r="CJ22" s="138">
        <v>1.4500000000000001E-2</v>
      </c>
      <c r="CK22" s="348" t="s">
        <v>56</v>
      </c>
      <c r="CL22" s="138">
        <v>1.6E-2</v>
      </c>
      <c r="CM22" s="348" t="s">
        <v>56</v>
      </c>
      <c r="CN22" s="136"/>
      <c r="CO22" s="223"/>
    </row>
    <row r="23" spans="1:93" ht="18" thickTop="1" x14ac:dyDescent="0.3">
      <c r="A23" s="119" t="s">
        <v>69</v>
      </c>
      <c r="B23" s="316">
        <v>1.4E-2</v>
      </c>
      <c r="C23" s="209"/>
      <c r="D23" s="238">
        <v>1.41E-2</v>
      </c>
      <c r="E23" s="316">
        <v>1.4E-2</v>
      </c>
      <c r="F23" s="209"/>
      <c r="G23" s="238">
        <v>1.41E-2</v>
      </c>
      <c r="H23" s="316">
        <v>1.4E-2</v>
      </c>
      <c r="I23" s="209"/>
      <c r="J23" s="238">
        <v>1.41E-2</v>
      </c>
      <c r="K23" s="118" t="s">
        <v>79</v>
      </c>
      <c r="L23" s="118" t="s">
        <v>80</v>
      </c>
      <c r="T23" s="119" t="s">
        <v>69</v>
      </c>
      <c r="U23" s="316">
        <v>4.0000000000000001E-3</v>
      </c>
      <c r="V23" s="209"/>
      <c r="W23" s="238">
        <f>+U23</f>
        <v>4.0000000000000001E-3</v>
      </c>
      <c r="X23" s="316">
        <v>4.0000000000000001E-3</v>
      </c>
      <c r="Y23" s="209"/>
      <c r="Z23" s="238">
        <f>+X23</f>
        <v>4.0000000000000001E-3</v>
      </c>
      <c r="AA23" s="118" t="s">
        <v>79</v>
      </c>
      <c r="AB23" s="118" t="s">
        <v>80</v>
      </c>
      <c r="AE23" s="118" t="s">
        <v>111</v>
      </c>
    </row>
    <row r="24" spans="1:93" ht="18" thickBot="1" x14ac:dyDescent="0.35">
      <c r="A24" s="133" t="s">
        <v>57</v>
      </c>
      <c r="B24" s="237">
        <v>2.9000000000000001E-2</v>
      </c>
      <c r="C24" s="211" t="s">
        <v>56</v>
      </c>
      <c r="D24" s="239">
        <v>2.12E-2</v>
      </c>
      <c r="E24" s="184">
        <v>2.9000000000000001E-2</v>
      </c>
      <c r="F24" s="211" t="s">
        <v>56</v>
      </c>
      <c r="G24" s="239">
        <v>2.1100000000000001E-2</v>
      </c>
      <c r="H24" s="237">
        <v>2.9000000000000001E-2</v>
      </c>
      <c r="I24" s="211" t="s">
        <v>56</v>
      </c>
      <c r="J24" s="239">
        <v>2.1100000000000001E-2</v>
      </c>
      <c r="K24" s="118" t="s">
        <v>79</v>
      </c>
      <c r="T24" s="133" t="s">
        <v>57</v>
      </c>
      <c r="U24" s="237">
        <v>2.3E-2</v>
      </c>
      <c r="V24" s="211" t="s">
        <v>56</v>
      </c>
      <c r="W24" s="239">
        <f>+U26-U24+0.0001</f>
        <v>4.6000000000000008E-3</v>
      </c>
      <c r="X24" s="237">
        <v>2.3E-2</v>
      </c>
      <c r="Y24" s="211" t="s">
        <v>56</v>
      </c>
      <c r="Z24" s="239">
        <f>+U26-X24</f>
        <v>4.5000000000000005E-3</v>
      </c>
      <c r="AA24" s="118" t="s">
        <v>79</v>
      </c>
    </row>
    <row r="25" spans="1:93" x14ac:dyDescent="0.3">
      <c r="U25" s="199"/>
      <c r="W25" s="164"/>
      <c r="X25" s="199"/>
      <c r="Z25" s="164"/>
      <c r="AA25" s="199"/>
    </row>
    <row r="26" spans="1:93" x14ac:dyDescent="0.3">
      <c r="A26" s="164" t="s">
        <v>60</v>
      </c>
      <c r="B26" s="324">
        <f>5.3%+M2</f>
        <v>0.04</v>
      </c>
      <c r="T26" s="164" t="s">
        <v>60</v>
      </c>
      <c r="U26" s="202">
        <v>2.75E-2</v>
      </c>
      <c r="W26" s="164"/>
      <c r="X26" s="199"/>
      <c r="Z26" s="164"/>
      <c r="AA26" s="199"/>
    </row>
    <row r="27" spans="1:93" x14ac:dyDescent="0.3">
      <c r="A27" s="118" t="s">
        <v>77</v>
      </c>
      <c r="T27" s="118" t="s">
        <v>77</v>
      </c>
      <c r="U27" s="199"/>
      <c r="W27" s="164"/>
      <c r="X27" s="199"/>
      <c r="Z27" s="164"/>
      <c r="AA27" s="199"/>
    </row>
    <row r="28" spans="1:93" x14ac:dyDescent="0.3">
      <c r="U28" s="199"/>
      <c r="W28" s="164"/>
      <c r="X28" s="199"/>
      <c r="Z28" s="164"/>
      <c r="AA28" s="199"/>
    </row>
    <row r="29" spans="1:93" x14ac:dyDescent="0.3">
      <c r="U29" s="199"/>
      <c r="W29" s="164"/>
      <c r="X29" s="199"/>
      <c r="Z29" s="164"/>
      <c r="AA29" s="199"/>
    </row>
    <row r="30" spans="1:93" x14ac:dyDescent="0.3">
      <c r="A30" s="203"/>
      <c r="T30" s="203" t="s">
        <v>118</v>
      </c>
      <c r="U30" s="199"/>
      <c r="W30" s="164"/>
      <c r="X30" s="310"/>
      <c r="Z30" s="164"/>
      <c r="AA30" s="199"/>
    </row>
    <row r="31" spans="1:93" ht="18" thickBot="1" x14ac:dyDescent="0.35">
      <c r="A31" s="310"/>
      <c r="U31" s="226"/>
      <c r="W31" s="164"/>
      <c r="X31" s="199"/>
      <c r="Z31" s="164"/>
      <c r="AA31" s="199"/>
    </row>
    <row r="32" spans="1:93" x14ac:dyDescent="0.3">
      <c r="A32" s="209"/>
      <c r="B32" s="318"/>
      <c r="C32" s="209"/>
      <c r="D32" s="120"/>
      <c r="E32" s="318"/>
      <c r="F32" s="209"/>
      <c r="G32" s="120"/>
      <c r="H32" s="318"/>
      <c r="I32" s="209"/>
      <c r="J32" s="209"/>
      <c r="T32" s="205" t="s">
        <v>47</v>
      </c>
      <c r="U32" s="215" t="s">
        <v>104</v>
      </c>
      <c r="V32" s="372" t="s">
        <v>105</v>
      </c>
      <c r="W32" s="374" t="s">
        <v>106</v>
      </c>
      <c r="X32" s="371" t="s">
        <v>104</v>
      </c>
      <c r="Y32" s="362" t="s">
        <v>107</v>
      </c>
      <c r="Z32" s="368" t="s">
        <v>108</v>
      </c>
      <c r="AA32" s="318"/>
      <c r="AB32" s="209"/>
      <c r="AC32" s="209"/>
    </row>
    <row r="33" spans="1:29" ht="18" thickBot="1" x14ac:dyDescent="0.35">
      <c r="A33" s="209"/>
      <c r="B33" s="319"/>
      <c r="C33" s="209"/>
      <c r="D33" s="120"/>
      <c r="E33" s="318"/>
      <c r="F33" s="209"/>
      <c r="G33" s="120"/>
      <c r="H33" s="318"/>
      <c r="I33" s="209"/>
      <c r="J33" s="209"/>
      <c r="T33" s="212"/>
      <c r="U33" s="363" t="s">
        <v>125</v>
      </c>
      <c r="V33" s="373"/>
      <c r="W33" s="375" t="s">
        <v>126</v>
      </c>
      <c r="X33" s="221" t="s">
        <v>127</v>
      </c>
      <c r="Y33" s="221"/>
      <c r="Z33" s="369" t="s">
        <v>109</v>
      </c>
      <c r="AA33" s="318"/>
      <c r="AB33" s="209"/>
      <c r="AC33" s="209"/>
    </row>
    <row r="34" spans="1:29" ht="18" thickTop="1" x14ac:dyDescent="0.3">
      <c r="A34" s="209"/>
      <c r="B34" s="320"/>
      <c r="C34" s="209"/>
      <c r="D34" s="120"/>
      <c r="E34" s="320"/>
      <c r="F34" s="209"/>
      <c r="G34" s="120"/>
      <c r="H34" s="320"/>
      <c r="I34" s="209"/>
      <c r="J34" s="209"/>
      <c r="T34" s="208" t="s">
        <v>48</v>
      </c>
      <c r="U34" s="217">
        <v>2.2499999999999999E-2</v>
      </c>
      <c r="V34" s="222" t="s">
        <v>56</v>
      </c>
      <c r="W34" s="217" t="s">
        <v>119</v>
      </c>
      <c r="X34" s="217">
        <v>2.2499999999999999E-2</v>
      </c>
      <c r="Y34" s="222" t="s">
        <v>56</v>
      </c>
      <c r="Z34" s="370" t="s">
        <v>119</v>
      </c>
      <c r="AA34" s="320"/>
      <c r="AB34" s="209"/>
      <c r="AC34" s="209"/>
    </row>
    <row r="35" spans="1:29" x14ac:dyDescent="0.3">
      <c r="A35" s="209"/>
      <c r="B35" s="178"/>
      <c r="C35" s="209"/>
      <c r="D35" s="129"/>
      <c r="E35" s="178"/>
      <c r="F35" s="209"/>
      <c r="G35" s="129"/>
      <c r="H35" s="178"/>
      <c r="I35" s="209"/>
      <c r="J35" s="209"/>
      <c r="T35" s="208" t="s">
        <v>49</v>
      </c>
      <c r="U35" s="218">
        <v>0.02</v>
      </c>
      <c r="V35" s="222" t="s">
        <v>56</v>
      </c>
      <c r="W35" s="218" t="s">
        <v>120</v>
      </c>
      <c r="X35" s="218">
        <v>0.02</v>
      </c>
      <c r="Y35" s="222" t="s">
        <v>56</v>
      </c>
      <c r="Z35" s="238" t="s">
        <v>120</v>
      </c>
      <c r="AA35" s="178"/>
      <c r="AB35" s="209"/>
      <c r="AC35" s="209"/>
    </row>
    <row r="36" spans="1:29" x14ac:dyDescent="0.3">
      <c r="A36" s="209"/>
      <c r="B36" s="178"/>
      <c r="C36" s="209"/>
      <c r="D36" s="129"/>
      <c r="E36" s="178"/>
      <c r="F36" s="209"/>
      <c r="G36" s="129"/>
      <c r="H36" s="178"/>
      <c r="I36" s="209"/>
      <c r="J36" s="209"/>
      <c r="T36" s="208" t="s">
        <v>50</v>
      </c>
      <c r="U36" s="218">
        <v>1.7500000000000002E-2</v>
      </c>
      <c r="V36" s="222" t="s">
        <v>56</v>
      </c>
      <c r="W36" s="218" t="s">
        <v>114</v>
      </c>
      <c r="X36" s="218">
        <v>1.7500000000000002E-2</v>
      </c>
      <c r="Y36" s="222" t="s">
        <v>56</v>
      </c>
      <c r="Z36" s="238" t="s">
        <v>114</v>
      </c>
      <c r="AA36" s="178"/>
      <c r="AB36" s="209"/>
      <c r="AC36" s="209"/>
    </row>
    <row r="37" spans="1:29" x14ac:dyDescent="0.3">
      <c r="A37" s="15"/>
      <c r="T37" s="208" t="s">
        <v>51</v>
      </c>
      <c r="U37" s="218">
        <v>1.4999999999999999E-2</v>
      </c>
      <c r="V37" s="222" t="s">
        <v>56</v>
      </c>
      <c r="W37" s="218" t="s">
        <v>121</v>
      </c>
      <c r="X37" s="218">
        <v>1.4999999999999999E-2</v>
      </c>
      <c r="Y37" s="222" t="s">
        <v>56</v>
      </c>
      <c r="Z37" s="238" t="s">
        <v>121</v>
      </c>
      <c r="AA37" s="199"/>
    </row>
    <row r="38" spans="1:29" x14ac:dyDescent="0.3">
      <c r="A38" s="241"/>
      <c r="B38" s="240"/>
      <c r="T38" s="208" t="s">
        <v>52</v>
      </c>
      <c r="U38" s="218">
        <v>6.0000000000000001E-3</v>
      </c>
      <c r="V38" s="222" t="s">
        <v>56</v>
      </c>
      <c r="W38" s="238" t="s">
        <v>122</v>
      </c>
      <c r="X38" s="218"/>
      <c r="Y38" s="222" t="s">
        <v>123</v>
      </c>
      <c r="Z38" s="238" t="s">
        <v>124</v>
      </c>
      <c r="AA38" s="199"/>
    </row>
    <row r="39" spans="1:29" ht="18" thickBot="1" x14ac:dyDescent="0.35">
      <c r="T39" s="208"/>
      <c r="U39" s="218"/>
      <c r="V39" s="222"/>
      <c r="W39" s="129"/>
      <c r="X39" s="218"/>
      <c r="Y39" s="222"/>
      <c r="Z39" s="192"/>
      <c r="AA39" s="199"/>
    </row>
    <row r="40" spans="1:29" x14ac:dyDescent="0.3">
      <c r="B40" s="311"/>
      <c r="C40" s="311"/>
      <c r="D40" s="312"/>
      <c r="E40" s="311"/>
      <c r="F40" s="311"/>
      <c r="T40" s="364" t="s">
        <v>110</v>
      </c>
      <c r="U40" s="365">
        <v>1.6199999999999999E-2</v>
      </c>
      <c r="V40" s="366" t="s">
        <v>56</v>
      </c>
      <c r="W40" s="365" t="s">
        <v>113</v>
      </c>
      <c r="X40" s="365">
        <v>1.4999999999999999E-2</v>
      </c>
      <c r="Y40" s="366" t="s">
        <v>56</v>
      </c>
      <c r="Z40" s="367" t="s">
        <v>112</v>
      </c>
      <c r="AA40" s="199"/>
    </row>
    <row r="41" spans="1:29" ht="18" thickBot="1" x14ac:dyDescent="0.35">
      <c r="T41" s="210"/>
      <c r="U41" s="219"/>
      <c r="V41" s="223"/>
      <c r="W41" s="321"/>
      <c r="X41" s="219"/>
      <c r="Y41" s="223"/>
      <c r="Z41" s="239"/>
      <c r="AA41" s="199"/>
    </row>
  </sheetData>
  <phoneticPr fontId="13" type="noConversion"/>
  <printOptions horizontalCentered="1" verticalCentered="1"/>
  <pageMargins left="0" right="0" top="0.98425196850393704" bottom="0.98425196850393704" header="0.51181102362204722" footer="0.51181102362204722"/>
  <pageSetup paperSize="9" scale="80" orientation="portrait" r:id="rId1"/>
  <headerFooter alignWithMargins="0">
    <oddHeader>&amp;L&amp;"Arial,מודגש"&amp;11&amp;Uמספר01/10
&amp;R&amp;"Arial,מודגש"&amp;18&amp;Uבנק מרכנתיל דיסקונט</oddHeader>
    <oddFooter>&amp;L&amp;A&amp;C&amp;"Arial,מודגש"&amp;11\פקמים.xls&amp;Rעמוד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7</vt:i4>
      </vt:variant>
      <vt:variant>
        <vt:lpstr>טווחים בעלי שם</vt:lpstr>
      </vt:variant>
      <vt:variant>
        <vt:i4>1</vt:i4>
      </vt:variant>
    </vt:vector>
  </HeadingPairs>
  <TitlesOfParts>
    <vt:vector size="8" baseType="lpstr">
      <vt:lpstr>ר. תעריפיות חדש</vt:lpstr>
      <vt:lpstr>גיליון5</vt:lpstr>
      <vt:lpstr>גיליון4</vt:lpstr>
      <vt:lpstr>גיליון3</vt:lpstr>
      <vt:lpstr>רק חן לכל</vt:lpstr>
      <vt:lpstr>טבלת ריבית תעריפית שיקלית</vt:lpstr>
      <vt:lpstr>פרנ מודולרי</vt:lpstr>
      <vt:lpstr>'פרנ מודולרי'!WPrint_Area_W</vt:lpstr>
    </vt:vector>
  </TitlesOfParts>
  <Company>מרכנתיל ני"ע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טבלת ריבית תעריפית אפיק השקעה שיקלי - מוצרי דיגיטל</dc:title>
  <dc:creator>NYAROT4</dc:creator>
  <cp:lastModifiedBy>חנה מסיל</cp:lastModifiedBy>
  <cp:lastPrinted>2024-04-20T16:40:30Z</cp:lastPrinted>
  <dcterms:created xsi:type="dcterms:W3CDTF">1998-11-15T12:24:59Z</dcterms:created>
  <dcterms:modified xsi:type="dcterms:W3CDTF">2025-03-05T11:27:30Z</dcterms:modified>
</cp:coreProperties>
</file>